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nno 2012 2013 2014\PERSONALE\FABBISOGNO PERSONALE_SPESA PERSONALE\SPESA PERSONALE 2022_2024\PIANO PERSONALE 2022-2024\"/>
    </mc:Choice>
  </mc:AlternateContent>
  <xr:revisionPtr revIDLastSave="0" documentId="13_ncr:1_{3942B844-82FA-4D36-948F-1D026A4AA7D5}" xr6:coauthVersionLast="47" xr6:coauthVersionMax="47" xr10:uidLastSave="{00000000-0000-0000-0000-000000000000}"/>
  <bookViews>
    <workbookView xWindow="-120" yWindow="-120" windowWidth="29040" windowHeight="15840" xr2:uid="{4CB9CF30-1451-431E-9C16-77AC0719CF50}"/>
  </bookViews>
  <sheets>
    <sheet name="Costo personale" sheetId="1" r:id="rId1"/>
    <sheet name="conteggi dipendenti" sheetId="2" r:id="rId2"/>
    <sheet name="Esterni" sheetId="4" r:id="rId3"/>
    <sheet name="Compensi annuali categorie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H28" i="1"/>
  <c r="K55" i="1"/>
  <c r="L55" i="1" s="1"/>
  <c r="J55" i="1"/>
  <c r="I55" i="1"/>
  <c r="I54" i="1"/>
  <c r="I53" i="1"/>
  <c r="C17" i="1"/>
  <c r="C26" i="1"/>
  <c r="C23" i="1"/>
  <c r="C19" i="1"/>
  <c r="C12" i="1"/>
  <c r="C11" i="1"/>
  <c r="C6" i="1"/>
  <c r="C7" i="1"/>
  <c r="C18" i="1"/>
  <c r="D20" i="1" l="1"/>
  <c r="J29" i="1"/>
  <c r="O29" i="1"/>
  <c r="D28" i="1"/>
  <c r="C28" i="1"/>
  <c r="D27" i="1"/>
  <c r="C27" i="1"/>
  <c r="A27" i="1"/>
  <c r="A28" i="1"/>
  <c r="H29" i="1" l="1"/>
  <c r="F28" i="1"/>
  <c r="G27" i="1"/>
  <c r="E28" i="1"/>
  <c r="K28" i="1" s="1"/>
  <c r="I27" i="1"/>
  <c r="E27" i="1"/>
  <c r="F27" i="1"/>
  <c r="G28" i="1"/>
  <c r="I28" i="1"/>
  <c r="D17" i="1"/>
  <c r="I15" i="1"/>
  <c r="J15" i="1"/>
  <c r="O15" i="1"/>
  <c r="P15" i="1"/>
  <c r="P31" i="1" s="1"/>
  <c r="T15" i="1"/>
  <c r="H21" i="1"/>
  <c r="H15" i="1"/>
  <c r="H24" i="1"/>
  <c r="I24" i="1"/>
  <c r="J24" i="1"/>
  <c r="O24" i="1"/>
  <c r="M60" i="1"/>
  <c r="M59" i="1"/>
  <c r="I21" i="1"/>
  <c r="J21" i="1"/>
  <c r="O21" i="1"/>
  <c r="C20" i="1"/>
  <c r="A20" i="1"/>
  <c r="H9" i="1"/>
  <c r="I9" i="1"/>
  <c r="J9" i="1"/>
  <c r="O9" i="1"/>
  <c r="A8" i="1"/>
  <c r="D8" i="1"/>
  <c r="C8" i="1"/>
  <c r="A6" i="1"/>
  <c r="E6" i="1" s="1"/>
  <c r="L28" i="1" l="1"/>
  <c r="K27" i="1"/>
  <c r="G20" i="1"/>
  <c r="E8" i="1"/>
  <c r="K8" i="1" s="1"/>
  <c r="E20" i="1"/>
  <c r="K20" i="1" s="1"/>
  <c r="F8" i="1"/>
  <c r="G8" i="1"/>
  <c r="F20" i="1"/>
  <c r="N16" i="4"/>
  <c r="E16" i="4"/>
  <c r="C9" i="4"/>
  <c r="G9" i="4" s="1"/>
  <c r="F10" i="4"/>
  <c r="G16" i="4"/>
  <c r="F16" i="4"/>
  <c r="G15" i="4"/>
  <c r="F15" i="4"/>
  <c r="G13" i="4"/>
  <c r="F13" i="4"/>
  <c r="G12" i="4"/>
  <c r="F12" i="4"/>
  <c r="G10" i="4"/>
  <c r="F9" i="4"/>
  <c r="G19" i="1"/>
  <c r="F19" i="1"/>
  <c r="G23" i="1"/>
  <c r="G24" i="1" s="1"/>
  <c r="F23" i="1"/>
  <c r="F24" i="1" s="1"/>
  <c r="G18" i="1"/>
  <c r="F18" i="1"/>
  <c r="G14" i="1"/>
  <c r="F14" i="1"/>
  <c r="G13" i="1"/>
  <c r="F13" i="1"/>
  <c r="G12" i="1"/>
  <c r="F12" i="1"/>
  <c r="G11" i="1"/>
  <c r="F11" i="1"/>
  <c r="G6" i="1"/>
  <c r="F6" i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E11" i="4"/>
  <c r="E12" i="4"/>
  <c r="E14" i="4"/>
  <c r="E15" i="4"/>
  <c r="A16" i="4"/>
  <c r="A15" i="4"/>
  <c r="A13" i="4"/>
  <c r="E13" i="4" s="1"/>
  <c r="A12" i="4"/>
  <c r="A10" i="4"/>
  <c r="E10" i="4" s="1"/>
  <c r="A9" i="4"/>
  <c r="E9" i="4" s="1"/>
  <c r="D16" i="4"/>
  <c r="D15" i="4"/>
  <c r="C16" i="4"/>
  <c r="C15" i="4"/>
  <c r="D13" i="4"/>
  <c r="C13" i="4"/>
  <c r="D12" i="4"/>
  <c r="C12" i="4"/>
  <c r="C10" i="4"/>
  <c r="D10" i="4"/>
  <c r="A26" i="1"/>
  <c r="G26" i="1"/>
  <c r="G29" i="1" s="1"/>
  <c r="A19" i="1"/>
  <c r="E19" i="1" s="1"/>
  <c r="A23" i="1"/>
  <c r="E23" i="1" s="1"/>
  <c r="E24" i="1" s="1"/>
  <c r="A18" i="1"/>
  <c r="E18" i="1" s="1"/>
  <c r="A17" i="1"/>
  <c r="F17" i="1"/>
  <c r="A14" i="1"/>
  <c r="E14" i="1" s="1"/>
  <c r="A13" i="1"/>
  <c r="E13" i="1" s="1"/>
  <c r="A12" i="1"/>
  <c r="E12" i="1" s="1"/>
  <c r="A11" i="1"/>
  <c r="E11" i="1" s="1"/>
  <c r="A7" i="1"/>
  <c r="D7" i="1"/>
  <c r="G7" i="1" s="1"/>
  <c r="M41" i="1"/>
  <c r="M40" i="1"/>
  <c r="H19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3" i="2"/>
  <c r="E16" i="2"/>
  <c r="N16" i="2" s="1"/>
  <c r="E37" i="2"/>
  <c r="G37" i="2"/>
  <c r="J19" i="2"/>
  <c r="J20" i="2" s="1"/>
  <c r="M6" i="2"/>
  <c r="M7" i="2"/>
  <c r="M8" i="2"/>
  <c r="M9" i="2"/>
  <c r="M12" i="2"/>
  <c r="M13" i="2"/>
  <c r="M14" i="2"/>
  <c r="M16" i="2"/>
  <c r="M3" i="2"/>
  <c r="K6" i="2"/>
  <c r="L6" i="2"/>
  <c r="K7" i="2"/>
  <c r="L7" i="2"/>
  <c r="K8" i="2"/>
  <c r="L8" i="2"/>
  <c r="K9" i="2"/>
  <c r="L9" i="2"/>
  <c r="K12" i="2"/>
  <c r="L12" i="2"/>
  <c r="K13" i="2"/>
  <c r="L13" i="2"/>
  <c r="K14" i="2"/>
  <c r="L14" i="2"/>
  <c r="L16" i="2"/>
  <c r="L3" i="2"/>
  <c r="K3" i="2"/>
  <c r="I3" i="2"/>
  <c r="I9" i="2"/>
  <c r="I6" i="2"/>
  <c r="I7" i="2"/>
  <c r="I8" i="2"/>
  <c r="I12" i="2"/>
  <c r="I13" i="2"/>
  <c r="I14" i="2"/>
  <c r="B4" i="2"/>
  <c r="F5" i="2"/>
  <c r="B6" i="2"/>
  <c r="F27" i="2" s="1"/>
  <c r="B7" i="2"/>
  <c r="F7" i="2" s="1"/>
  <c r="B8" i="2"/>
  <c r="F8" i="2" s="1"/>
  <c r="B9" i="2"/>
  <c r="F9" i="2" s="1"/>
  <c r="B11" i="2"/>
  <c r="B12" i="2"/>
  <c r="F33" i="2" s="1"/>
  <c r="I33" i="2" s="1"/>
  <c r="B13" i="2"/>
  <c r="F13" i="2" s="1"/>
  <c r="B14" i="2"/>
  <c r="F14" i="2" s="1"/>
  <c r="F15" i="2"/>
  <c r="B16" i="2"/>
  <c r="F16" i="2" s="1"/>
  <c r="B17" i="2"/>
  <c r="B3" i="2"/>
  <c r="F24" i="2" s="1"/>
  <c r="G34" i="2"/>
  <c r="G28" i="2"/>
  <c r="G38" i="2"/>
  <c r="G35" i="2"/>
  <c r="G33" i="2"/>
  <c r="G30" i="2"/>
  <c r="G29" i="2"/>
  <c r="G27" i="2"/>
  <c r="F10" i="2"/>
  <c r="G26" i="2"/>
  <c r="I26" i="2" s="1"/>
  <c r="G31" i="2"/>
  <c r="I31" i="2" s="1"/>
  <c r="G36" i="2"/>
  <c r="I36" i="2" s="1"/>
  <c r="G24" i="2"/>
  <c r="I24" i="2" s="1"/>
  <c r="E38" i="2"/>
  <c r="E32" i="2"/>
  <c r="G32" i="2" s="1"/>
  <c r="E25" i="2"/>
  <c r="G25" i="2" s="1"/>
  <c r="G15" i="1" l="1"/>
  <c r="M28" i="1"/>
  <c r="N28" i="1" s="1"/>
  <c r="L27" i="1"/>
  <c r="E15" i="1"/>
  <c r="F15" i="1"/>
  <c r="M42" i="1"/>
  <c r="L20" i="1"/>
  <c r="M20" i="1" s="1"/>
  <c r="N20" i="1" s="1"/>
  <c r="Q20" i="1" s="1"/>
  <c r="L8" i="1"/>
  <c r="M8" i="1" s="1"/>
  <c r="N8" i="1" s="1"/>
  <c r="U8" i="1" s="1"/>
  <c r="F21" i="1"/>
  <c r="E26" i="1"/>
  <c r="E29" i="1" s="1"/>
  <c r="E7" i="1"/>
  <c r="E9" i="1" s="1"/>
  <c r="E17" i="1"/>
  <c r="E21" i="1" s="1"/>
  <c r="G9" i="1"/>
  <c r="G17" i="1"/>
  <c r="G21" i="1" s="1"/>
  <c r="F7" i="1"/>
  <c r="F9" i="1" s="1"/>
  <c r="F26" i="1"/>
  <c r="F29" i="1" s="1"/>
  <c r="I26" i="1"/>
  <c r="I29" i="1" s="1"/>
  <c r="H27" i="2"/>
  <c r="H24" i="2"/>
  <c r="F12" i="2"/>
  <c r="I16" i="2"/>
  <c r="K16" i="2"/>
  <c r="H33" i="2"/>
  <c r="F37" i="2"/>
  <c r="I37" i="2" s="1"/>
  <c r="H29" i="2"/>
  <c r="H37" i="2"/>
  <c r="F29" i="2"/>
  <c r="F35" i="2"/>
  <c r="H35" i="2" s="1"/>
  <c r="F34" i="2"/>
  <c r="I34" i="2" s="1"/>
  <c r="F6" i="2"/>
  <c r="F30" i="2"/>
  <c r="I30" i="2" s="1"/>
  <c r="F28" i="2"/>
  <c r="I29" i="2"/>
  <c r="F3" i="2"/>
  <c r="I27" i="2"/>
  <c r="E17" i="2"/>
  <c r="F38" i="2" s="1"/>
  <c r="E11" i="2"/>
  <c r="E4" i="2"/>
  <c r="M57" i="1"/>
  <c r="M56" i="1"/>
  <c r="K54" i="1"/>
  <c r="J54" i="1"/>
  <c r="K53" i="1"/>
  <c r="J53" i="1"/>
  <c r="K50" i="1"/>
  <c r="J50" i="1"/>
  <c r="K48" i="1"/>
  <c r="M48" i="1" s="1"/>
  <c r="E31" i="1" l="1"/>
  <c r="R28" i="1"/>
  <c r="Q28" i="1"/>
  <c r="U28" i="1"/>
  <c r="M27" i="1"/>
  <c r="R8" i="1"/>
  <c r="U20" i="1"/>
  <c r="Q8" i="1"/>
  <c r="R20" i="1"/>
  <c r="S20" i="1" s="1"/>
  <c r="L54" i="1"/>
  <c r="L53" i="1"/>
  <c r="M50" i="1"/>
  <c r="H30" i="2"/>
  <c r="I38" i="2"/>
  <c r="H38" i="2"/>
  <c r="H34" i="2"/>
  <c r="F17" i="2"/>
  <c r="I28" i="2"/>
  <c r="H28" i="2"/>
  <c r="I35" i="2"/>
  <c r="F4" i="2"/>
  <c r="I4" i="2"/>
  <c r="F25" i="2"/>
  <c r="K4" i="2"/>
  <c r="M4" i="2"/>
  <c r="L4" i="2"/>
  <c r="K11" i="2"/>
  <c r="L11" i="2"/>
  <c r="M11" i="2"/>
  <c r="I11" i="2"/>
  <c r="L17" i="2"/>
  <c r="N17" i="2"/>
  <c r="N19" i="2" s="1"/>
  <c r="N20" i="2" s="1"/>
  <c r="I17" i="2"/>
  <c r="M17" i="2"/>
  <c r="K17" i="2"/>
  <c r="F32" i="2"/>
  <c r="F11" i="2"/>
  <c r="J38" i="2"/>
  <c r="H31" i="1"/>
  <c r="J31" i="1"/>
  <c r="O31" i="1"/>
  <c r="S28" i="1" l="1"/>
  <c r="V28" i="1" s="1"/>
  <c r="N27" i="1"/>
  <c r="S8" i="1"/>
  <c r="V8" i="1" s="1"/>
  <c r="V20" i="1"/>
  <c r="L19" i="2"/>
  <c r="L20" i="2" s="1"/>
  <c r="M19" i="2"/>
  <c r="M20" i="2" s="1"/>
  <c r="I32" i="2"/>
  <c r="H32" i="2"/>
  <c r="I25" i="2"/>
  <c r="J25" i="2" s="1"/>
  <c r="H25" i="2"/>
  <c r="K19" i="2"/>
  <c r="K20" i="2" s="1"/>
  <c r="I19" i="2"/>
  <c r="I20" i="2" s="1"/>
  <c r="I31" i="1"/>
  <c r="F31" i="1"/>
  <c r="G31" i="1"/>
  <c r="L13" i="4"/>
  <c r="M13" i="4" s="1"/>
  <c r="N13" i="4" s="1"/>
  <c r="L12" i="4"/>
  <c r="M12" i="4" s="1"/>
  <c r="L16" i="4"/>
  <c r="M16" i="4" s="1"/>
  <c r="L15" i="4"/>
  <c r="M15" i="4" s="1"/>
  <c r="L10" i="4"/>
  <c r="M10" i="4" s="1"/>
  <c r="L9" i="4"/>
  <c r="Q27" i="1" l="1"/>
  <c r="U27" i="1"/>
  <c r="R27" i="1"/>
  <c r="H20" i="2"/>
  <c r="O13" i="4"/>
  <c r="N12" i="4"/>
  <c r="O12" i="4" s="1"/>
  <c r="N15" i="4"/>
  <c r="O15" i="4" s="1"/>
  <c r="N10" i="4"/>
  <c r="O10" i="4" s="1"/>
  <c r="O16" i="4"/>
  <c r="K7" i="1"/>
  <c r="L7" i="1" s="1"/>
  <c r="R30" i="1"/>
  <c r="S27" i="1" l="1"/>
  <c r="S12" i="4"/>
  <c r="R12" i="4"/>
  <c r="V12" i="4"/>
  <c r="V13" i="4"/>
  <c r="S13" i="4"/>
  <c r="R13" i="4"/>
  <c r="V16" i="4"/>
  <c r="S16" i="4"/>
  <c r="R16" i="4"/>
  <c r="V10" i="4"/>
  <c r="S10" i="4"/>
  <c r="R10" i="4"/>
  <c r="V15" i="4"/>
  <c r="S15" i="4"/>
  <c r="R15" i="4"/>
  <c r="M7" i="1"/>
  <c r="K17" i="1"/>
  <c r="K13" i="1"/>
  <c r="L13" i="1" s="1"/>
  <c r="K11" i="1"/>
  <c r="K19" i="1"/>
  <c r="L19" i="1" s="1"/>
  <c r="K23" i="1"/>
  <c r="K14" i="1"/>
  <c r="L14" i="1" s="1"/>
  <c r="V27" i="1" l="1"/>
  <c r="L11" i="1"/>
  <c r="M11" i="1" s="1"/>
  <c r="L23" i="1"/>
  <c r="L24" i="1" s="1"/>
  <c r="K24" i="1"/>
  <c r="L17" i="1"/>
  <c r="T12" i="4"/>
  <c r="T15" i="4"/>
  <c r="W15" i="4" s="1"/>
  <c r="T16" i="4"/>
  <c r="W16" i="4" s="1"/>
  <c r="J24" i="2"/>
  <c r="J27" i="2"/>
  <c r="J34" i="2"/>
  <c r="J35" i="2"/>
  <c r="T13" i="4"/>
  <c r="W13" i="4" s="1"/>
  <c r="W12" i="4"/>
  <c r="T10" i="4"/>
  <c r="W10" i="4" s="1"/>
  <c r="N7" i="1"/>
  <c r="R7" i="1" s="1"/>
  <c r="K18" i="1"/>
  <c r="K21" i="1" s="1"/>
  <c r="M13" i="1"/>
  <c r="M14" i="1"/>
  <c r="K26" i="1"/>
  <c r="K29" i="1" s="1"/>
  <c r="K6" i="1"/>
  <c r="K9" i="1" s="1"/>
  <c r="K12" i="1"/>
  <c r="L12" i="1" s="1"/>
  <c r="L26" i="1" l="1"/>
  <c r="L29" i="1" s="1"/>
  <c r="K15" i="1"/>
  <c r="L15" i="1"/>
  <c r="L6" i="1"/>
  <c r="L9" i="1" s="1"/>
  <c r="L18" i="1"/>
  <c r="L21" i="1" s="1"/>
  <c r="J37" i="2"/>
  <c r="J29" i="2"/>
  <c r="J28" i="2"/>
  <c r="J33" i="2"/>
  <c r="J30" i="2"/>
  <c r="Q7" i="1"/>
  <c r="S7" i="1" s="1"/>
  <c r="U7" i="1"/>
  <c r="M12" i="1"/>
  <c r="N12" i="1" s="1"/>
  <c r="N14" i="1"/>
  <c r="M23" i="1"/>
  <c r="M19" i="1"/>
  <c r="N19" i="1" s="1"/>
  <c r="N11" i="1"/>
  <c r="N13" i="1"/>
  <c r="M17" i="1"/>
  <c r="L31" i="1" l="1"/>
  <c r="K31" i="1"/>
  <c r="Q11" i="1"/>
  <c r="N15" i="1"/>
  <c r="M15" i="1"/>
  <c r="N23" i="1"/>
  <c r="N24" i="1" s="1"/>
  <c r="M24" i="1"/>
  <c r="N17" i="1"/>
  <c r="Q17" i="1" s="1"/>
  <c r="M26" i="1"/>
  <c r="M29" i="1" s="1"/>
  <c r="J40" i="2"/>
  <c r="V7" i="1"/>
  <c r="R11" i="1"/>
  <c r="U11" i="1"/>
  <c r="Q12" i="1"/>
  <c r="R12" i="1"/>
  <c r="U12" i="1"/>
  <c r="M6" i="1"/>
  <c r="M9" i="1" s="1"/>
  <c r="U19" i="1"/>
  <c r="Q19" i="1"/>
  <c r="R19" i="1"/>
  <c r="M18" i="1"/>
  <c r="N18" i="1" s="1"/>
  <c r="U13" i="1"/>
  <c r="Q13" i="1"/>
  <c r="R13" i="1"/>
  <c r="U14" i="1"/>
  <c r="Q14" i="1"/>
  <c r="R14" i="1"/>
  <c r="R23" i="1" l="1"/>
  <c r="R24" i="1" s="1"/>
  <c r="Q23" i="1"/>
  <c r="Q24" i="1" s="1"/>
  <c r="N26" i="1"/>
  <c r="N29" i="1" s="1"/>
  <c r="U15" i="1"/>
  <c r="R15" i="1"/>
  <c r="Q15" i="1"/>
  <c r="U23" i="1"/>
  <c r="U24" i="1" s="1"/>
  <c r="U17" i="1"/>
  <c r="R17" i="1"/>
  <c r="S17" i="1" s="1"/>
  <c r="M21" i="1"/>
  <c r="M31" i="1" s="1"/>
  <c r="N21" i="1"/>
  <c r="M43" i="1"/>
  <c r="S14" i="1"/>
  <c r="V14" i="1" s="1"/>
  <c r="S11" i="1"/>
  <c r="N6" i="1"/>
  <c r="N9" i="1" s="1"/>
  <c r="R18" i="1"/>
  <c r="U18" i="1"/>
  <c r="Q18" i="1"/>
  <c r="Q21" i="1" s="1"/>
  <c r="S13" i="1"/>
  <c r="V13" i="1" s="1"/>
  <c r="S19" i="1"/>
  <c r="V19" i="1" s="1"/>
  <c r="S12" i="1"/>
  <c r="V12" i="1" s="1"/>
  <c r="U21" i="1" l="1"/>
  <c r="N31" i="1"/>
  <c r="S23" i="1"/>
  <c r="U26" i="1"/>
  <c r="U29" i="1" s="1"/>
  <c r="R26" i="1"/>
  <c r="R29" i="1" s="1"/>
  <c r="Q26" i="1"/>
  <c r="Q29" i="1" s="1"/>
  <c r="V11" i="1"/>
  <c r="V15" i="1" s="1"/>
  <c r="S15" i="1"/>
  <c r="V23" i="1"/>
  <c r="V24" i="1" s="1"/>
  <c r="S24" i="1"/>
  <c r="R21" i="1"/>
  <c r="V17" i="1"/>
  <c r="U6" i="1"/>
  <c r="U9" i="1" s="1"/>
  <c r="R6" i="1"/>
  <c r="R9" i="1" s="1"/>
  <c r="Q6" i="1"/>
  <c r="Q9" i="1" s="1"/>
  <c r="S18" i="1"/>
  <c r="S21" i="1" s="1"/>
  <c r="U31" i="1" l="1"/>
  <c r="Q31" i="1"/>
  <c r="S26" i="1"/>
  <c r="S29" i="1" s="1"/>
  <c r="R31" i="1"/>
  <c r="S6" i="1"/>
  <c r="S9" i="1" s="1"/>
  <c r="V18" i="1"/>
  <c r="V21" i="1" s="1"/>
  <c r="V26" i="1" l="1"/>
  <c r="V29" i="1" s="1"/>
  <c r="S31" i="1"/>
  <c r="V31" i="1" s="1"/>
  <c r="V6" i="1"/>
  <c r="V9" i="1" s="1"/>
  <c r="M37" i="1" l="1"/>
  <c r="M65" i="1" s="1"/>
  <c r="M68" i="1" s="1"/>
  <c r="M9" i="4"/>
  <c r="N9" i="4" s="1"/>
  <c r="O9" i="4" s="1"/>
  <c r="V9" i="4" l="1"/>
  <c r="R9" i="4"/>
  <c r="S9" i="4"/>
  <c r="T9" i="4" l="1"/>
  <c r="W9" i="4" s="1"/>
</calcChain>
</file>

<file path=xl/sharedStrings.xml><?xml version="1.0" encoding="utf-8"?>
<sst xmlns="http://schemas.openxmlformats.org/spreadsheetml/2006/main" count="230" uniqueCount="126">
  <si>
    <t>COSTI</t>
  </si>
  <si>
    <t>QUALIFICA</t>
  </si>
  <si>
    <t>CAPITOLO STIPENDI</t>
  </si>
  <si>
    <t>STIPENDI LORDI A REGIME</t>
  </si>
  <si>
    <t xml:space="preserve">COMPARTO </t>
  </si>
  <si>
    <t>ELEMENTO PEREQUATIVO</t>
  </si>
  <si>
    <t>respo</t>
  </si>
  <si>
    <t>VIGILANZA</t>
  </si>
  <si>
    <t>ANZIANITA'       VACANZA CONTRATT</t>
  </si>
  <si>
    <t>TREDICESIMA</t>
  </si>
  <si>
    <t>TOTALE COMPETENZE</t>
  </si>
  <si>
    <t>ASSEGNI NUCLE FAMILIARE</t>
  </si>
  <si>
    <t>CAPITOLO ONERI</t>
  </si>
  <si>
    <t>ONERI  PREVID. 23,80+2,88</t>
  </si>
  <si>
    <t>I.N.A.I.L. impiegati</t>
  </si>
  <si>
    <t xml:space="preserve">TOTALE ONERI </t>
  </si>
  <si>
    <t>CAPITOLO      IRAP</t>
  </si>
  <si>
    <t>I.R.A.P.</t>
  </si>
  <si>
    <t>totale</t>
  </si>
  <si>
    <t>D1</t>
  </si>
  <si>
    <t>1021/10</t>
  </si>
  <si>
    <t>C1</t>
  </si>
  <si>
    <t>C5</t>
  </si>
  <si>
    <t>C3</t>
  </si>
  <si>
    <t>C2</t>
  </si>
  <si>
    <t>B3</t>
  </si>
  <si>
    <t>C6</t>
  </si>
  <si>
    <t>1082/15</t>
  </si>
  <si>
    <t>TOTALI SPESE PER RETRIBUZIONI FISSE</t>
  </si>
  <si>
    <t>FONDO DECENTRATO LIMITE FONDO 2016 -RISORSE STABILI</t>
  </si>
  <si>
    <t>COMPARTO A CARICO DEL FONDO - GIA' INDICATO NELLE RETRIBUZIONI FISSE</t>
  </si>
  <si>
    <t>PROGRESSIONI A CARICO DEL FONDO - GIA' INDICATO NELLE RETRI.FISSE</t>
  </si>
  <si>
    <t>STRAORDINARIO</t>
  </si>
  <si>
    <t xml:space="preserve">ONERI RIFLESSI SU STRAORDINARI </t>
  </si>
  <si>
    <t>BUONI PASTO</t>
  </si>
  <si>
    <t>SPESE REGGENZA SEGRETARIO</t>
  </si>
  <si>
    <t>CONVENZIONI CON ALTRI ENTI</t>
  </si>
  <si>
    <t>convenzione ambito ass. sociale</t>
  </si>
  <si>
    <t xml:space="preserve">ONERI RIFLESSI INDENNITA' RESPONSABILITA' </t>
  </si>
  <si>
    <t>LIMITE 2022</t>
  </si>
  <si>
    <t>ALIQUOTE CONTRIBUTIVE</t>
  </si>
  <si>
    <t>ADELAIDE</t>
  </si>
  <si>
    <t>MONICA</t>
  </si>
  <si>
    <t>CRISTIAN</t>
  </si>
  <si>
    <t>FILOMENA</t>
  </si>
  <si>
    <t>TOTALE</t>
  </si>
  <si>
    <t xml:space="preserve">ONERI RIFLESSI SU FONDO DECENTRATO </t>
  </si>
  <si>
    <t>IRAP SU FONDO DECENTRATO</t>
  </si>
  <si>
    <t xml:space="preserve">EUGENIA </t>
  </si>
  <si>
    <t>Progressioni a carico del fondo</t>
  </si>
  <si>
    <t>12 mesi</t>
  </si>
  <si>
    <t>13 mesi</t>
  </si>
  <si>
    <t xml:space="preserve">tecnico </t>
  </si>
  <si>
    <t xml:space="preserve">ALESSIA </t>
  </si>
  <si>
    <t>CHIARA</t>
  </si>
  <si>
    <t>EVENTUALE AUMENTO ORE DIPENDENTE PART TIME 91,67% DA 33 A 36</t>
  </si>
  <si>
    <t>RINNOVO CONTRATTUALE</t>
  </si>
  <si>
    <t>TOTALE COMPETENZE CON RINNOVO</t>
  </si>
  <si>
    <t>DISPONIBILE</t>
  </si>
  <si>
    <t xml:space="preserve">INDENNITA' RISPONSABILITA' </t>
  </si>
  <si>
    <t>EVENTUALI TEMPI DETERMINATI (COSTO COMPLESSIVO)</t>
  </si>
  <si>
    <t>STIPENDIO BASE</t>
  </si>
  <si>
    <t>IVC</t>
  </si>
  <si>
    <t>SALARIO ANZ.</t>
  </si>
  <si>
    <t>COMPARTO</t>
  </si>
  <si>
    <t>COMPARTO QUOTA FONDO</t>
  </si>
  <si>
    <t>ELEM.PEREQUATIVO</t>
  </si>
  <si>
    <t>DANIEL</t>
  </si>
  <si>
    <t>IND.VIGILANZA</t>
  </si>
  <si>
    <t>guerinoni</t>
  </si>
  <si>
    <t>messina</t>
  </si>
  <si>
    <t>base</t>
  </si>
  <si>
    <t>oneri</t>
  </si>
  <si>
    <t>irap</t>
  </si>
  <si>
    <t>rimborsi</t>
  </si>
  <si>
    <t>BORSE LAVORO</t>
  </si>
  <si>
    <t>XX</t>
  </si>
  <si>
    <t>% ore</t>
  </si>
  <si>
    <t>ALTRO</t>
  </si>
  <si>
    <t>riduzioni (es. aumenti contrattuali negli anni) - DA CALCOLARE</t>
  </si>
  <si>
    <t xml:space="preserve">base </t>
  </si>
  <si>
    <t>C4</t>
  </si>
  <si>
    <t>D3</t>
  </si>
  <si>
    <t>D2</t>
  </si>
  <si>
    <t>D4</t>
  </si>
  <si>
    <t>D5</t>
  </si>
  <si>
    <t>B4</t>
  </si>
  <si>
    <t>B5</t>
  </si>
  <si>
    <t>1 ANNO</t>
  </si>
  <si>
    <t xml:space="preserve">RINNOVI CONTRATTUALI DIPENDENTI CESSATI ANNI PRECEDENTI </t>
  </si>
  <si>
    <t>VIGILE</t>
  </si>
  <si>
    <t>mensile</t>
  </si>
  <si>
    <t>RAG</t>
  </si>
  <si>
    <t>IVC MENSILE</t>
  </si>
  <si>
    <t>STIPENDIO MENSILE</t>
  </si>
  <si>
    <t>PEREQUATIVO</t>
  </si>
  <si>
    <t>B6</t>
  </si>
  <si>
    <t>% ORE</t>
  </si>
  <si>
    <t>% mesi lavoro</t>
  </si>
  <si>
    <t>STIPENDIO BASE rapportato</t>
  </si>
  <si>
    <t>NUOVA CATEGORIA rapportata</t>
  </si>
  <si>
    <t>Base</t>
  </si>
  <si>
    <t>B1</t>
  </si>
  <si>
    <t>COMPARTO COMUNE</t>
  </si>
  <si>
    <t>PROGRESSIONE mensile</t>
  </si>
  <si>
    <t>ANNUALE</t>
  </si>
  <si>
    <t>% mesi</t>
  </si>
  <si>
    <t>COMPARTO TOTALE</t>
  </si>
  <si>
    <t>d1</t>
  </si>
  <si>
    <t>d2</t>
  </si>
  <si>
    <t>d3</t>
  </si>
  <si>
    <t>AMMINISTRATIVO</t>
  </si>
  <si>
    <t>RAGIONERIA</t>
  </si>
  <si>
    <t xml:space="preserve">RESPONSABILITA </t>
  </si>
  <si>
    <t>D2 esterno</t>
  </si>
  <si>
    <t>D3 esterno</t>
  </si>
  <si>
    <t>Importi per bilancio inseriti sopra</t>
  </si>
  <si>
    <t>progressioni fanno parte del fondo (totale)</t>
  </si>
  <si>
    <t>irap su fondo si paga a parte</t>
  </si>
  <si>
    <t>Bagini</t>
  </si>
  <si>
    <t>PO</t>
  </si>
  <si>
    <t>-</t>
  </si>
  <si>
    <t>1 mese</t>
  </si>
  <si>
    <t>6 mesi</t>
  </si>
  <si>
    <t>C4 esterno</t>
  </si>
  <si>
    <t>Indennità risultato (MAX 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</si>
</sst>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C00000"/>
      </left>
      <right style="double">
        <color rgb="FFC00000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C00000"/>
      </left>
      <right style="double">
        <color rgb="FFC00000"/>
      </right>
      <top style="thin">
        <color indexed="64"/>
      </top>
      <bottom/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 style="thin">
        <color indexed="64"/>
      </bottom>
      <diagonal/>
    </border>
    <border>
      <left style="double">
        <color theme="7" tint="0.79998168889431442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medium">
        <color theme="8" tint="0.39997558519241921"/>
      </left>
      <right style="thin">
        <color indexed="64"/>
      </right>
      <top/>
      <bottom/>
      <diagonal/>
    </border>
    <border>
      <left style="medium">
        <color theme="5" tint="-0.249977111117893"/>
      </left>
      <right style="thin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 style="thin">
        <color indexed="64"/>
      </right>
      <top style="medium">
        <color theme="5" tint="-0.249977111117893"/>
      </top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5" tint="-0.249977111117893"/>
      </top>
      <bottom style="medium">
        <color theme="9" tint="-0.249977111117893"/>
      </bottom>
      <diagonal/>
    </border>
    <border>
      <left style="medium">
        <color theme="8"/>
      </left>
      <right style="thin">
        <color indexed="64"/>
      </right>
      <top/>
      <bottom/>
      <diagonal/>
    </border>
    <border>
      <left style="medium">
        <color theme="9" tint="-0.249977111117893"/>
      </left>
      <right style="thin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 style="double">
        <color rgb="FFC00000"/>
      </left>
      <right style="medium">
        <color theme="5"/>
      </right>
      <top style="medium">
        <color theme="5"/>
      </top>
      <bottom/>
      <diagonal/>
    </border>
    <border>
      <left style="medium">
        <color rgb="FF00B0F0"/>
      </left>
      <right style="thin">
        <color indexed="64"/>
      </right>
      <top style="medium">
        <color rgb="FF00B0F0"/>
      </top>
      <bottom/>
      <diagonal/>
    </border>
    <border>
      <left style="thin">
        <color indexed="64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FF00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medium">
        <color rgb="FFFFFF00"/>
      </bottom>
      <diagonal/>
    </border>
    <border>
      <left style="thin">
        <color theme="4"/>
      </left>
      <right style="thin">
        <color indexed="64"/>
      </right>
      <top/>
      <bottom/>
      <diagonal/>
    </border>
    <border>
      <left style="thin">
        <color theme="4"/>
      </left>
      <right style="thin">
        <color indexed="64"/>
      </right>
      <top style="medium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indexed="6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thin">
        <color indexed="64"/>
      </left>
      <right style="thin">
        <color indexed="64"/>
      </right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 style="thin">
        <color indexed="64"/>
      </right>
      <top style="medium">
        <color rgb="FF92D050"/>
      </top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 style="thin">
        <color theme="4"/>
      </left>
      <right style="thin">
        <color indexed="64"/>
      </right>
      <top style="medium">
        <color rgb="FFFFFF00"/>
      </top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 style="medium">
        <color theme="4"/>
      </left>
      <right style="thin">
        <color indexed="64"/>
      </right>
      <top style="medium">
        <color theme="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medium">
        <color rgb="FFFF0000"/>
      </left>
      <right/>
      <top/>
      <bottom style="medium">
        <color rgb="FFFFFF00"/>
      </bottom>
      <diagonal/>
    </border>
    <border>
      <left style="thin">
        <color indexed="64"/>
      </left>
      <right/>
      <top style="medium">
        <color theme="4"/>
      </top>
      <bottom style="thin">
        <color theme="4"/>
      </bottom>
      <diagonal/>
    </border>
    <border>
      <left/>
      <right style="thin">
        <color indexed="64"/>
      </right>
      <top style="medium">
        <color theme="5"/>
      </top>
      <bottom/>
      <diagonal/>
    </border>
    <border>
      <left/>
      <right style="thin">
        <color indexed="64"/>
      </right>
      <top style="medium">
        <color theme="4"/>
      </top>
      <bottom/>
      <diagonal/>
    </border>
    <border>
      <left/>
      <right style="thin">
        <color indexed="64"/>
      </right>
      <top/>
      <bottom style="medium">
        <color rgb="FF92D050"/>
      </bottom>
      <diagonal/>
    </border>
    <border>
      <left/>
      <right style="thin">
        <color indexed="64"/>
      </right>
      <top style="medium">
        <color theme="5"/>
      </top>
      <bottom style="medium">
        <color theme="5"/>
      </bottom>
      <diagonal/>
    </border>
    <border>
      <left/>
      <right style="thin">
        <color indexed="64"/>
      </right>
      <top style="medium">
        <color theme="4"/>
      </top>
      <bottom style="thin">
        <color theme="4"/>
      </bottom>
      <diagonal/>
    </border>
    <border>
      <left style="medium">
        <color rgb="FFFF0000"/>
      </left>
      <right style="medium">
        <color rgb="FFFF0000"/>
      </right>
      <top style="medium">
        <color theme="4"/>
      </top>
      <bottom/>
      <diagonal/>
    </border>
    <border>
      <left style="medium">
        <color rgb="FFFF0000"/>
      </left>
      <right style="medium">
        <color rgb="FFFF0000"/>
      </right>
      <top style="medium">
        <color rgb="FF92D05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FF00"/>
      </top>
      <bottom style="medium">
        <color rgb="FFFFFF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theme="5"/>
      </top>
      <bottom/>
      <diagonal/>
    </border>
    <border>
      <left style="medium">
        <color rgb="FFFF0000"/>
      </left>
      <right style="medium">
        <color rgb="FFFF0000"/>
      </right>
      <top style="medium">
        <color theme="4"/>
      </top>
      <bottom style="medium">
        <color theme="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92D05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FF00"/>
      </bottom>
      <diagonal/>
    </border>
    <border>
      <left style="medium">
        <color rgb="FFFF0000"/>
      </left>
      <right style="medium">
        <color rgb="FFFF0000"/>
      </right>
      <top style="medium">
        <color theme="5"/>
      </top>
      <bottom style="medium">
        <color theme="5"/>
      </bottom>
      <diagonal/>
    </border>
    <border>
      <left style="medium">
        <color rgb="FFFF0000"/>
      </left>
      <right style="medium">
        <color rgb="FFFF0000"/>
      </right>
      <top style="medium">
        <color theme="4"/>
      </top>
      <bottom style="medium">
        <color rgb="FFFF0000"/>
      </bottom>
      <diagonal/>
    </border>
    <border>
      <left style="thin">
        <color indexed="64"/>
      </left>
      <right/>
      <top style="medium">
        <color theme="5"/>
      </top>
      <bottom/>
      <diagonal/>
    </border>
    <border>
      <left style="thin">
        <color indexed="64"/>
      </left>
      <right/>
      <top style="medium">
        <color theme="4"/>
      </top>
      <bottom/>
      <diagonal/>
    </border>
    <border>
      <left style="thin">
        <color indexed="64"/>
      </left>
      <right/>
      <top style="medium">
        <color rgb="FF92D050"/>
      </top>
      <bottom/>
      <diagonal/>
    </border>
    <border>
      <left style="thin">
        <color indexed="64"/>
      </left>
      <right/>
      <top style="medium">
        <color theme="4"/>
      </top>
      <bottom style="medium">
        <color theme="4"/>
      </bottom>
      <diagonal/>
    </border>
    <border>
      <left style="thin">
        <color indexed="64"/>
      </left>
      <right/>
      <top/>
      <bottom style="medium">
        <color rgb="FF92D05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6">
    <xf numFmtId="0" fontId="0" fillId="0" borderId="0" xfId="0"/>
    <xf numFmtId="0" fontId="2" fillId="0" borderId="0" xfId="0" applyFont="1" applyProtection="1"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Continuous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Protection="1">
      <protection locked="0"/>
    </xf>
    <xf numFmtId="10" fontId="5" fillId="0" borderId="5" xfId="0" applyNumberFormat="1" applyFont="1" applyBorder="1" applyAlignment="1" applyProtection="1">
      <alignment horizontal="center" vertical="center"/>
      <protection locked="0"/>
    </xf>
    <xf numFmtId="10" fontId="5" fillId="0" borderId="6" xfId="0" applyNumberFormat="1" applyFont="1" applyBorder="1" applyAlignment="1" applyProtection="1">
      <alignment horizontal="center" vertical="center"/>
      <protection locked="0"/>
    </xf>
    <xf numFmtId="10" fontId="5" fillId="0" borderId="7" xfId="0" applyNumberFormat="1" applyFont="1" applyBorder="1" applyAlignment="1" applyProtection="1">
      <alignment horizontal="center" vertical="center"/>
      <protection locked="0"/>
    </xf>
    <xf numFmtId="0" fontId="2" fillId="3" borderId="5" xfId="0" applyFont="1" applyFill="1" applyBorder="1" applyProtection="1"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Protection="1">
      <protection locked="0"/>
    </xf>
    <xf numFmtId="4" fontId="2" fillId="0" borderId="0" xfId="0" applyNumberFormat="1" applyFont="1" applyProtection="1">
      <protection locked="0"/>
    </xf>
    <xf numFmtId="43" fontId="2" fillId="0" borderId="8" xfId="1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0" fontId="2" fillId="0" borderId="12" xfId="0" applyFont="1" applyBorder="1" applyAlignment="1" applyProtection="1">
      <alignment horizontal="centerContinuous" vertical="center"/>
      <protection locked="0"/>
    </xf>
    <xf numFmtId="10" fontId="5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0" fontId="5" fillId="0" borderId="0" xfId="2" applyNumberFormat="1" applyFont="1" applyAlignment="1" applyProtection="1">
      <alignment horizontal="right" vertical="center"/>
      <protection locked="0"/>
    </xf>
    <xf numFmtId="4" fontId="0" fillId="0" borderId="0" xfId="0" applyNumberFormat="1"/>
    <xf numFmtId="4" fontId="2" fillId="0" borderId="39" xfId="0" applyNumberFormat="1" applyFont="1" applyBorder="1" applyProtection="1"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43" fontId="2" fillId="0" borderId="38" xfId="1" applyFont="1" applyBorder="1" applyAlignment="1" applyProtection="1">
      <protection locked="0"/>
    </xf>
    <xf numFmtId="4" fontId="2" fillId="0" borderId="37" xfId="0" applyNumberFormat="1" applyFont="1" applyBorder="1" applyAlignment="1" applyProtection="1">
      <alignment horizontal="right"/>
      <protection locked="0"/>
    </xf>
    <xf numFmtId="4" fontId="2" fillId="3" borderId="37" xfId="0" applyNumberFormat="1" applyFont="1" applyFill="1" applyBorder="1" applyAlignment="1" applyProtection="1">
      <alignment horizontal="center"/>
      <protection locked="0"/>
    </xf>
    <xf numFmtId="4" fontId="2" fillId="0" borderId="38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3" fontId="0" fillId="0" borderId="0" xfId="1" applyFont="1"/>
    <xf numFmtId="43" fontId="2" fillId="0" borderId="19" xfId="1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1" applyFont="1" applyBorder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43" fontId="2" fillId="0" borderId="0" xfId="1" applyFont="1" applyBorder="1" applyAlignment="1" applyProtection="1"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2" fillId="3" borderId="0" xfId="0" applyNumberFormat="1" applyFont="1" applyFill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3" fontId="2" fillId="0" borderId="40" xfId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43" fontId="2" fillId="0" borderId="38" xfId="1" applyFont="1" applyBorder="1" applyAlignment="1" applyProtection="1">
      <alignment horizontal="center" vertical="center"/>
      <protection locked="0"/>
    </xf>
    <xf numFmtId="43" fontId="2" fillId="0" borderId="0" xfId="1" applyFont="1" applyBorder="1" applyAlignment="1" applyProtection="1">
      <alignment horizontal="center" vertical="center"/>
      <protection locked="0"/>
    </xf>
    <xf numFmtId="43" fontId="2" fillId="0" borderId="19" xfId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3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43" fontId="2" fillId="0" borderId="43" xfId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" fontId="2" fillId="0" borderId="48" xfId="0" applyNumberFormat="1" applyFont="1" applyBorder="1" applyAlignment="1" applyProtection="1">
      <alignment horizontal="center" vertical="center"/>
      <protection locked="0"/>
    </xf>
    <xf numFmtId="43" fontId="2" fillId="0" borderId="48" xfId="1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43" fontId="0" fillId="0" borderId="0" xfId="1" applyFont="1" applyFill="1" applyBorder="1" applyAlignment="1" applyProtection="1">
      <alignment horizontal="center" vertical="center"/>
      <protection locked="0"/>
    </xf>
    <xf numFmtId="4" fontId="2" fillId="0" borderId="54" xfId="0" applyNumberFormat="1" applyFont="1" applyBorder="1" applyAlignment="1" applyProtection="1">
      <alignment horizontal="center" vertical="center"/>
      <protection locked="0"/>
    </xf>
    <xf numFmtId="43" fontId="2" fillId="0" borderId="54" xfId="1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43" fontId="2" fillId="0" borderId="55" xfId="1" applyFont="1" applyFill="1" applyBorder="1" applyAlignment="1" applyProtection="1">
      <alignment horizontal="center" vertical="center"/>
      <protection locked="0"/>
    </xf>
    <xf numFmtId="43" fontId="2" fillId="0" borderId="57" xfId="1" applyFont="1" applyFill="1" applyBorder="1" applyAlignment="1" applyProtection="1">
      <alignment horizontal="center" vertical="center"/>
      <protection locked="0"/>
    </xf>
    <xf numFmtId="43" fontId="0" fillId="0" borderId="0" xfId="1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43" fontId="2" fillId="0" borderId="60" xfId="1" applyFont="1" applyFill="1" applyBorder="1" applyAlignment="1" applyProtection="1">
      <alignment horizontal="center" vertical="center"/>
      <protection locked="0"/>
    </xf>
    <xf numFmtId="43" fontId="5" fillId="0" borderId="0" xfId="1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43" fontId="5" fillId="0" borderId="52" xfId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5" fontId="2" fillId="2" borderId="0" xfId="0" applyNumberFormat="1" applyFont="1" applyFill="1" applyAlignment="1" applyProtection="1">
      <alignment horizontal="center" vertical="center"/>
      <protection locked="0"/>
    </xf>
    <xf numFmtId="43" fontId="2" fillId="0" borderId="0" xfId="1" applyFont="1" applyFill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left" vertical="center"/>
      <protection locked="0"/>
    </xf>
    <xf numFmtId="43" fontId="0" fillId="0" borderId="0" xfId="1" applyFont="1" applyAlignment="1">
      <alignment horizontal="center" vertical="center" wrapText="1"/>
    </xf>
    <xf numFmtId="43" fontId="0" fillId="2" borderId="0" xfId="1" applyFont="1" applyFill="1"/>
    <xf numFmtId="0" fontId="0" fillId="0" borderId="0" xfId="0" applyAlignment="1">
      <alignment wrapText="1"/>
    </xf>
    <xf numFmtId="43" fontId="2" fillId="0" borderId="3" xfId="1" applyFont="1" applyBorder="1" applyProtection="1">
      <protection locked="0"/>
    </xf>
    <xf numFmtId="43" fontId="2" fillId="0" borderId="5" xfId="1" applyFont="1" applyBorder="1" applyProtection="1">
      <protection locked="0"/>
    </xf>
    <xf numFmtId="43" fontId="2" fillId="0" borderId="17" xfId="1" applyFont="1" applyBorder="1" applyAlignment="1" applyProtection="1">
      <alignment horizontal="left" vertical="center"/>
      <protection locked="0"/>
    </xf>
    <xf numFmtId="43" fontId="2" fillId="0" borderId="61" xfId="1" applyFont="1" applyBorder="1" applyAlignment="1" applyProtection="1">
      <alignment horizontal="left" vertical="center"/>
      <protection locked="0"/>
    </xf>
    <xf numFmtId="43" fontId="2" fillId="0" borderId="20" xfId="1" applyFont="1" applyBorder="1" applyAlignment="1" applyProtection="1">
      <alignment horizontal="left" vertical="center"/>
      <protection locked="0"/>
    </xf>
    <xf numFmtId="43" fontId="0" fillId="0" borderId="24" xfId="1" applyFont="1" applyBorder="1" applyAlignment="1" applyProtection="1">
      <alignment horizontal="left" vertical="center"/>
      <protection locked="0"/>
    </xf>
    <xf numFmtId="43" fontId="2" fillId="0" borderId="26" xfId="1" applyFont="1" applyBorder="1" applyAlignment="1" applyProtection="1">
      <alignment horizontal="left" vertical="center"/>
      <protection locked="0"/>
    </xf>
    <xf numFmtId="43" fontId="2" fillId="0" borderId="27" xfId="1" applyFont="1" applyBorder="1" applyAlignment="1" applyProtection="1">
      <alignment horizontal="left" vertical="center"/>
      <protection locked="0"/>
    </xf>
    <xf numFmtId="43" fontId="2" fillId="0" borderId="3" xfId="1" applyFont="1" applyBorder="1" applyAlignment="1" applyProtection="1">
      <alignment horizontal="left" vertical="center"/>
      <protection locked="0"/>
    </xf>
    <xf numFmtId="43" fontId="2" fillId="0" borderId="29" xfId="1" applyFont="1" applyBorder="1" applyAlignment="1" applyProtection="1">
      <alignment horizontal="left" vertical="center"/>
      <protection locked="0"/>
    </xf>
    <xf numFmtId="43" fontId="2" fillId="0" borderId="31" xfId="1" applyFont="1" applyBorder="1" applyAlignment="1" applyProtection="1">
      <alignment horizontal="left" vertical="center"/>
      <protection locked="0"/>
    </xf>
    <xf numFmtId="43" fontId="2" fillId="0" borderId="32" xfId="1" applyFont="1" applyBorder="1" applyAlignment="1" applyProtection="1">
      <alignment horizontal="left" vertical="center"/>
      <protection locked="0"/>
    </xf>
    <xf numFmtId="43" fontId="0" fillId="0" borderId="34" xfId="1" applyFont="1" applyBorder="1" applyAlignment="1" applyProtection="1">
      <alignment horizontal="left" vertical="center"/>
      <protection locked="0"/>
    </xf>
    <xf numFmtId="43" fontId="2" fillId="0" borderId="9" xfId="1" applyFont="1" applyBorder="1" applyAlignment="1" applyProtection="1">
      <alignment vertical="center"/>
      <protection locked="0"/>
    </xf>
    <xf numFmtId="43" fontId="2" fillId="0" borderId="19" xfId="1" applyFont="1" applyBorder="1" applyAlignment="1" applyProtection="1">
      <alignment vertical="center"/>
      <protection locked="0"/>
    </xf>
    <xf numFmtId="43" fontId="2" fillId="0" borderId="21" xfId="1" applyFont="1" applyBorder="1" applyAlignment="1" applyProtection="1">
      <alignment horizontal="left" vertical="center"/>
      <protection locked="0"/>
    </xf>
    <xf numFmtId="43" fontId="0" fillId="0" borderId="25" xfId="1" applyFont="1" applyBorder="1" applyAlignment="1" applyProtection="1">
      <alignment horizontal="left" vertical="center"/>
      <protection locked="0"/>
    </xf>
    <xf numFmtId="43" fontId="2" fillId="0" borderId="19" xfId="1" applyFont="1" applyBorder="1" applyAlignment="1" applyProtection="1">
      <alignment horizontal="left" vertical="center"/>
      <protection locked="0"/>
    </xf>
    <xf numFmtId="43" fontId="0" fillId="0" borderId="28" xfId="1" applyFont="1" applyBorder="1" applyAlignment="1" applyProtection="1">
      <alignment horizontal="left" vertical="center"/>
      <protection locked="0"/>
    </xf>
    <xf numFmtId="43" fontId="2" fillId="0" borderId="18" xfId="1" applyFont="1" applyBorder="1" applyProtection="1">
      <protection locked="0"/>
    </xf>
    <xf numFmtId="43" fontId="2" fillId="0" borderId="30" xfId="1" applyFont="1" applyBorder="1" applyAlignment="1" applyProtection="1">
      <alignment horizontal="left" vertical="center"/>
      <protection locked="0"/>
    </xf>
    <xf numFmtId="43" fontId="2" fillId="0" borderId="33" xfId="1" applyFont="1" applyBorder="1" applyAlignment="1" applyProtection="1">
      <alignment horizontal="left" vertical="center"/>
      <protection locked="0"/>
    </xf>
    <xf numFmtId="43" fontId="0" fillId="0" borderId="23" xfId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horizontal="left" vertical="center"/>
      <protection locked="0"/>
    </xf>
    <xf numFmtId="43" fontId="2" fillId="0" borderId="38" xfId="1" applyFont="1" applyBorder="1" applyAlignment="1" applyProtection="1">
      <alignment horizontal="left" vertical="center"/>
      <protection locked="0"/>
    </xf>
    <xf numFmtId="4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4" fontId="2" fillId="0" borderId="45" xfId="0" applyNumberFormat="1" applyFont="1" applyBorder="1" applyAlignment="1" applyProtection="1">
      <alignment horizontal="left" vertical="center"/>
      <protection locked="0"/>
    </xf>
    <xf numFmtId="4" fontId="2" fillId="0" borderId="47" xfId="0" applyNumberFormat="1" applyFont="1" applyBorder="1" applyAlignment="1" applyProtection="1">
      <alignment horizontal="left" vertical="center"/>
      <protection locked="0"/>
    </xf>
    <xf numFmtId="4" fontId="2" fillId="0" borderId="35" xfId="0" applyNumberFormat="1" applyFont="1" applyBorder="1" applyAlignment="1" applyProtection="1">
      <alignment horizontal="left" vertical="center"/>
      <protection locked="0"/>
    </xf>
    <xf numFmtId="4" fontId="2" fillId="0" borderId="53" xfId="0" applyNumberFormat="1" applyFont="1" applyBorder="1" applyAlignment="1" applyProtection="1">
      <alignment horizontal="left" vertical="center"/>
      <protection locked="0"/>
    </xf>
    <xf numFmtId="4" fontId="2" fillId="0" borderId="56" xfId="0" applyNumberFormat="1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9" fontId="2" fillId="3" borderId="9" xfId="2" applyFont="1" applyFill="1" applyBorder="1" applyAlignment="1" applyProtection="1">
      <alignment horizontal="center" vertical="center"/>
      <protection locked="0"/>
    </xf>
    <xf numFmtId="9" fontId="2" fillId="3" borderId="19" xfId="2" applyFont="1" applyFill="1" applyBorder="1" applyAlignment="1" applyProtection="1">
      <alignment horizontal="center" vertical="center"/>
      <protection locked="0"/>
    </xf>
    <xf numFmtId="9" fontId="2" fillId="0" borderId="3" xfId="2" applyFont="1" applyBorder="1" applyProtection="1">
      <protection locked="0"/>
    </xf>
    <xf numFmtId="9" fontId="2" fillId="3" borderId="28" xfId="2" applyFont="1" applyFill="1" applyBorder="1" applyAlignment="1" applyProtection="1">
      <alignment horizontal="center" vertical="center"/>
      <protection locked="0"/>
    </xf>
    <xf numFmtId="9" fontId="2" fillId="0" borderId="5" xfId="2" applyFont="1" applyFill="1" applyBorder="1" applyAlignment="1" applyProtection="1">
      <protection locked="0"/>
    </xf>
    <xf numFmtId="9" fontId="2" fillId="3" borderId="3" xfId="2" applyFont="1" applyFill="1" applyBorder="1" applyAlignment="1" applyProtection="1">
      <alignment horizontal="center" vertical="center"/>
      <protection locked="0"/>
    </xf>
    <xf numFmtId="9" fontId="2" fillId="3" borderId="30" xfId="2" applyFont="1" applyFill="1" applyBorder="1" applyAlignment="1" applyProtection="1">
      <alignment horizontal="center" vertical="center"/>
      <protection locked="0"/>
    </xf>
    <xf numFmtId="9" fontId="2" fillId="3" borderId="23" xfId="2" applyFont="1" applyFill="1" applyBorder="1" applyAlignment="1" applyProtection="1">
      <alignment horizontal="center" vertical="center"/>
      <protection locked="0"/>
    </xf>
    <xf numFmtId="43" fontId="2" fillId="0" borderId="46" xfId="1" applyFont="1" applyFill="1" applyBorder="1" applyAlignment="1" applyProtection="1">
      <alignment horizontal="center" vertical="center"/>
      <protection locked="0"/>
    </xf>
    <xf numFmtId="10" fontId="0" fillId="0" borderId="0" xfId="2" applyNumberFormat="1" applyFont="1"/>
    <xf numFmtId="10" fontId="2" fillId="3" borderId="9" xfId="2" applyNumberFormat="1" applyFont="1" applyFill="1" applyBorder="1" applyAlignment="1" applyProtection="1">
      <alignment horizontal="center" vertical="center"/>
      <protection locked="0"/>
    </xf>
    <xf numFmtId="10" fontId="2" fillId="3" borderId="19" xfId="2" applyNumberFormat="1" applyFont="1" applyFill="1" applyBorder="1" applyAlignment="1" applyProtection="1">
      <alignment horizontal="center" vertical="center"/>
      <protection locked="0"/>
    </xf>
    <xf numFmtId="10" fontId="2" fillId="0" borderId="3" xfId="2" applyNumberFormat="1" applyFont="1" applyBorder="1" applyProtection="1">
      <protection locked="0"/>
    </xf>
    <xf numFmtId="10" fontId="2" fillId="3" borderId="28" xfId="2" applyNumberFormat="1" applyFont="1" applyFill="1" applyBorder="1" applyAlignment="1" applyProtection="1">
      <alignment horizontal="center" vertical="center"/>
      <protection locked="0"/>
    </xf>
    <xf numFmtId="10" fontId="2" fillId="0" borderId="5" xfId="2" applyNumberFormat="1" applyFont="1" applyFill="1" applyBorder="1" applyAlignment="1" applyProtection="1">
      <protection locked="0"/>
    </xf>
    <xf numFmtId="10" fontId="2" fillId="3" borderId="3" xfId="2" applyNumberFormat="1" applyFont="1" applyFill="1" applyBorder="1" applyAlignment="1" applyProtection="1">
      <alignment horizontal="center" vertical="center"/>
      <protection locked="0"/>
    </xf>
    <xf numFmtId="10" fontId="2" fillId="3" borderId="30" xfId="2" applyNumberFormat="1" applyFont="1" applyFill="1" applyBorder="1" applyAlignment="1" applyProtection="1">
      <alignment horizontal="center" vertical="center"/>
      <protection locked="0"/>
    </xf>
    <xf numFmtId="10" fontId="2" fillId="3" borderId="23" xfId="2" applyNumberFormat="1" applyFont="1" applyFill="1" applyBorder="1" applyAlignment="1" applyProtection="1">
      <alignment horizontal="center" vertical="center"/>
      <protection locked="0"/>
    </xf>
    <xf numFmtId="10" fontId="2" fillId="3" borderId="0" xfId="2" applyNumberFormat="1" applyFont="1" applyFill="1" applyBorder="1" applyAlignment="1" applyProtection="1">
      <alignment horizontal="center" vertical="center"/>
      <protection locked="0"/>
    </xf>
    <xf numFmtId="10" fontId="0" fillId="0" borderId="0" xfId="2" applyNumberFormat="1" applyFont="1" applyAlignment="1">
      <alignment horizontal="center" vertical="center" wrapText="1"/>
    </xf>
    <xf numFmtId="43" fontId="0" fillId="0" borderId="0" xfId="0" applyNumberFormat="1"/>
    <xf numFmtId="10" fontId="2" fillId="0" borderId="0" xfId="2" applyNumberFormat="1" applyFont="1" applyBorder="1" applyProtection="1">
      <protection locked="0"/>
    </xf>
    <xf numFmtId="10" fontId="2" fillId="0" borderId="0" xfId="2" applyNumberFormat="1" applyFont="1" applyFill="1" applyBorder="1" applyAlignment="1" applyProtection="1">
      <protection locked="0"/>
    </xf>
    <xf numFmtId="0" fontId="0" fillId="2" borderId="0" xfId="0" applyFill="1"/>
    <xf numFmtId="0" fontId="0" fillId="0" borderId="0" xfId="0" applyFill="1" applyBorder="1"/>
    <xf numFmtId="10" fontId="0" fillId="0" borderId="0" xfId="2" applyNumberFormat="1" applyFont="1" applyFill="1" applyBorder="1"/>
    <xf numFmtId="43" fontId="0" fillId="0" borderId="0" xfId="1" applyFont="1" applyFill="1" applyBorder="1"/>
    <xf numFmtId="43" fontId="0" fillId="4" borderId="0" xfId="1" applyFont="1" applyFill="1"/>
    <xf numFmtId="43" fontId="2" fillId="0" borderId="49" xfId="1" applyFont="1" applyFill="1" applyBorder="1" applyAlignment="1" applyProtection="1">
      <alignment horizontal="center" vertical="center"/>
      <protection locked="0"/>
    </xf>
    <xf numFmtId="43" fontId="2" fillId="0" borderId="36" xfId="1" applyFont="1" applyFill="1" applyBorder="1" applyAlignment="1" applyProtection="1">
      <alignment horizontal="center" vertical="center"/>
      <protection locked="0"/>
    </xf>
    <xf numFmtId="43" fontId="0" fillId="0" borderId="36" xfId="1" applyFont="1" applyFill="1" applyBorder="1" applyAlignment="1" applyProtection="1">
      <alignment horizontal="center" vertical="center"/>
      <protection locked="0"/>
    </xf>
    <xf numFmtId="43" fontId="2" fillId="0" borderId="44" xfId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43" fontId="2" fillId="0" borderId="65" xfId="1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3" fontId="2" fillId="0" borderId="71" xfId="1" applyFont="1" applyBorder="1" applyAlignment="1" applyProtection="1">
      <alignment horizontal="center" vertical="center"/>
      <protection locked="0"/>
    </xf>
    <xf numFmtId="43" fontId="5" fillId="0" borderId="70" xfId="1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3" borderId="73" xfId="0" applyFont="1" applyFill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9" fontId="2" fillId="3" borderId="37" xfId="2" applyFont="1" applyFill="1" applyBorder="1" applyAlignment="1" applyProtection="1">
      <alignment horizontal="center"/>
      <protection locked="0"/>
    </xf>
    <xf numFmtId="9" fontId="2" fillId="3" borderId="38" xfId="2" applyFont="1" applyFill="1" applyBorder="1" applyAlignment="1" applyProtection="1">
      <alignment horizontal="center"/>
      <protection locked="0"/>
    </xf>
    <xf numFmtId="9" fontId="2" fillId="3" borderId="0" xfId="2" applyFont="1" applyFill="1" applyAlignment="1" applyProtection="1">
      <alignment horizontal="center"/>
      <protection locked="0"/>
    </xf>
    <xf numFmtId="9" fontId="0" fillId="0" borderId="0" xfId="2" applyFont="1"/>
    <xf numFmtId="165" fontId="0" fillId="0" borderId="0" xfId="0" applyNumberFormat="1"/>
    <xf numFmtId="43" fontId="2" fillId="0" borderId="37" xfId="1" applyFont="1" applyBorder="1" applyAlignment="1" applyProtection="1">
      <alignment horizontal="center" vertical="center"/>
      <protection locked="0"/>
    </xf>
    <xf numFmtId="43" fontId="2" fillId="3" borderId="37" xfId="1" applyFont="1" applyFill="1" applyBorder="1" applyAlignment="1" applyProtection="1">
      <alignment horizontal="center" vertical="center"/>
      <protection locked="0"/>
    </xf>
    <xf numFmtId="43" fontId="5" fillId="0" borderId="62" xfId="1" applyFont="1" applyBorder="1" applyAlignment="1" applyProtection="1">
      <alignment horizontal="left" vertical="center"/>
      <protection locked="0"/>
    </xf>
    <xf numFmtId="43" fontId="2" fillId="0" borderId="19" xfId="1" applyFont="1" applyBorder="1" applyAlignment="1" applyProtection="1">
      <alignment horizontal="center" vertical="center"/>
      <protection locked="0"/>
    </xf>
    <xf numFmtId="43" fontId="2" fillId="0" borderId="64" xfId="1" applyFont="1" applyBorder="1" applyAlignment="1" applyProtection="1">
      <alignment horizontal="center" vertical="center"/>
      <protection locked="0"/>
    </xf>
    <xf numFmtId="43" fontId="2" fillId="3" borderId="64" xfId="1" applyFont="1" applyFill="1" applyBorder="1" applyAlignment="1" applyProtection="1">
      <alignment horizontal="center" vertical="center"/>
      <protection locked="0"/>
    </xf>
    <xf numFmtId="43" fontId="5" fillId="0" borderId="68" xfId="1" applyFont="1" applyBorder="1" applyAlignment="1" applyProtection="1">
      <alignment horizontal="left" vertical="center"/>
      <protection locked="0"/>
    </xf>
    <xf numFmtId="43" fontId="5" fillId="0" borderId="37" xfId="1" applyFont="1" applyBorder="1" applyAlignment="1" applyProtection="1">
      <alignment horizontal="center" vertical="center"/>
      <protection locked="0"/>
    </xf>
    <xf numFmtId="43" fontId="5" fillId="0" borderId="73" xfId="1" applyFont="1" applyBorder="1" applyAlignment="1" applyProtection="1">
      <alignment horizontal="left" vertical="center"/>
      <protection locked="0"/>
    </xf>
    <xf numFmtId="43" fontId="5" fillId="0" borderId="69" xfId="1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43" fontId="5" fillId="0" borderId="61" xfId="1" applyFont="1" applyBorder="1" applyAlignment="1" applyProtection="1">
      <alignment horizontal="left" vertical="center"/>
      <protection locked="0"/>
    </xf>
    <xf numFmtId="43" fontId="5" fillId="0" borderId="0" xfId="1" applyFont="1" applyBorder="1" applyAlignment="1" applyProtection="1">
      <alignment horizontal="left" vertical="center"/>
      <protection locked="0"/>
    </xf>
    <xf numFmtId="0" fontId="2" fillId="3" borderId="37" xfId="1" applyNumberFormat="1" applyFont="1" applyFill="1" applyBorder="1" applyAlignment="1" applyProtection="1">
      <alignment horizontal="center" vertical="center"/>
      <protection locked="0"/>
    </xf>
    <xf numFmtId="0" fontId="2" fillId="3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61" xfId="1" applyNumberFormat="1" applyFont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43" fontId="2" fillId="0" borderId="0" xfId="1" applyFont="1" applyBorder="1" applyAlignment="1" applyProtection="1">
      <alignment horizontal="left" vertical="center"/>
      <protection locked="0"/>
    </xf>
    <xf numFmtId="43" fontId="2" fillId="0" borderId="74" xfId="1" applyFont="1" applyBorder="1" applyAlignment="1" applyProtection="1">
      <alignment horizontal="center" vertical="center"/>
      <protection locked="0"/>
    </xf>
    <xf numFmtId="43" fontId="2" fillId="3" borderId="74" xfId="1" applyFont="1" applyFill="1" applyBorder="1" applyAlignment="1" applyProtection="1">
      <alignment horizontal="center" vertical="center"/>
      <protection locked="0"/>
    </xf>
    <xf numFmtId="43" fontId="2" fillId="0" borderId="75" xfId="1" applyFont="1" applyBorder="1" applyAlignment="1" applyProtection="1">
      <alignment horizontal="center" vertical="center"/>
      <protection locked="0"/>
    </xf>
    <xf numFmtId="0" fontId="2" fillId="3" borderId="19" xfId="1" applyNumberFormat="1" applyFont="1" applyFill="1" applyBorder="1" applyAlignment="1" applyProtection="1">
      <alignment horizontal="center" vertical="center"/>
      <protection locked="0"/>
    </xf>
    <xf numFmtId="0" fontId="2" fillId="3" borderId="74" xfId="1" applyNumberFormat="1" applyFont="1" applyFill="1" applyBorder="1" applyAlignment="1" applyProtection="1">
      <alignment horizontal="center" vertical="center"/>
      <protection locked="0"/>
    </xf>
    <xf numFmtId="4" fontId="0" fillId="0" borderId="76" xfId="0" applyNumberFormat="1" applyBorder="1"/>
    <xf numFmtId="0" fontId="2" fillId="0" borderId="77" xfId="0" applyFont="1" applyBorder="1" applyAlignment="1" applyProtection="1">
      <alignment horizontal="center" vertical="center"/>
      <protection locked="0"/>
    </xf>
    <xf numFmtId="10" fontId="2" fillId="3" borderId="77" xfId="2" applyNumberFormat="1" applyFont="1" applyFill="1" applyBorder="1" applyAlignment="1" applyProtection="1">
      <alignment horizontal="center" vertical="center"/>
      <protection locked="0"/>
    </xf>
    <xf numFmtId="43" fontId="2" fillId="0" borderId="78" xfId="1" applyFont="1" applyBorder="1" applyAlignment="1" applyProtection="1">
      <alignment horizontal="left" vertical="center"/>
      <protection locked="0"/>
    </xf>
    <xf numFmtId="43" fontId="2" fillId="0" borderId="78" xfId="1" applyFont="1" applyBorder="1" applyAlignment="1" applyProtection="1">
      <alignment horizontal="center" vertical="center"/>
      <protection locked="0"/>
    </xf>
    <xf numFmtId="43" fontId="2" fillId="0" borderId="77" xfId="1" applyFont="1" applyBorder="1" applyAlignment="1" applyProtection="1">
      <alignment horizontal="center" vertical="center"/>
      <protection locked="0"/>
    </xf>
    <xf numFmtId="43" fontId="2" fillId="3" borderId="77" xfId="1" applyFont="1" applyFill="1" applyBorder="1" applyAlignment="1" applyProtection="1">
      <alignment horizontal="center" vertical="center"/>
      <protection locked="0"/>
    </xf>
    <xf numFmtId="0" fontId="2" fillId="3" borderId="77" xfId="1" applyNumberFormat="1" applyFont="1" applyFill="1" applyBorder="1" applyAlignment="1" applyProtection="1">
      <alignment horizontal="center" vertical="center"/>
      <protection locked="0"/>
    </xf>
    <xf numFmtId="4" fontId="0" fillId="0" borderId="79" xfId="0" applyNumberFormat="1" applyBorder="1"/>
    <xf numFmtId="0" fontId="2" fillId="0" borderId="37" xfId="0" applyFont="1" applyBorder="1" applyAlignment="1" applyProtection="1">
      <alignment horizontal="center" vertical="center"/>
      <protection locked="0"/>
    </xf>
    <xf numFmtId="10" fontId="2" fillId="3" borderId="37" xfId="2" applyNumberFormat="1" applyFont="1" applyFill="1" applyBorder="1" applyAlignment="1" applyProtection="1">
      <alignment horizontal="center" vertical="center"/>
      <protection locked="0"/>
    </xf>
    <xf numFmtId="4" fontId="0" fillId="0" borderId="80" xfId="0" applyNumberFormat="1" applyBorder="1"/>
    <xf numFmtId="0" fontId="2" fillId="0" borderId="81" xfId="0" applyFont="1" applyBorder="1" applyAlignment="1" applyProtection="1">
      <alignment horizontal="center" vertical="center"/>
      <protection locked="0"/>
    </xf>
    <xf numFmtId="10" fontId="2" fillId="3" borderId="81" xfId="2" applyNumberFormat="1" applyFont="1" applyFill="1" applyBorder="1" applyAlignment="1" applyProtection="1">
      <alignment horizontal="center" vertical="center"/>
      <protection locked="0"/>
    </xf>
    <xf numFmtId="43" fontId="2" fillId="0" borderId="82" xfId="1" applyFont="1" applyBorder="1" applyAlignment="1" applyProtection="1">
      <alignment horizontal="left" vertical="center"/>
      <protection locked="0"/>
    </xf>
    <xf numFmtId="43" fontId="2" fillId="0" borderId="82" xfId="1" applyFont="1" applyBorder="1" applyAlignment="1" applyProtection="1">
      <alignment horizontal="center" vertical="center"/>
      <protection locked="0"/>
    </xf>
    <xf numFmtId="43" fontId="2" fillId="0" borderId="81" xfId="1" applyFont="1" applyBorder="1" applyAlignment="1" applyProtection="1">
      <alignment horizontal="center" vertical="center"/>
      <protection locked="0"/>
    </xf>
    <xf numFmtId="43" fontId="2" fillId="3" borderId="81" xfId="1" applyFont="1" applyFill="1" applyBorder="1" applyAlignment="1" applyProtection="1">
      <alignment horizontal="center" vertical="center"/>
      <protection locked="0"/>
    </xf>
    <xf numFmtId="0" fontId="2" fillId="3" borderId="81" xfId="1" applyNumberFormat="1" applyFont="1" applyFill="1" applyBorder="1" applyAlignment="1" applyProtection="1">
      <alignment horizontal="center" vertical="center"/>
      <protection locked="0"/>
    </xf>
    <xf numFmtId="4" fontId="0" fillId="0" borderId="84" xfId="0" applyNumberFormat="1" applyBorder="1"/>
    <xf numFmtId="0" fontId="2" fillId="0" borderId="85" xfId="0" applyFont="1" applyBorder="1" applyAlignment="1" applyProtection="1">
      <alignment horizontal="center" vertical="center"/>
      <protection locked="0"/>
    </xf>
    <xf numFmtId="10" fontId="2" fillId="3" borderId="85" xfId="2" applyNumberFormat="1" applyFont="1" applyFill="1" applyBorder="1" applyAlignment="1" applyProtection="1">
      <alignment horizontal="center" vertical="center"/>
      <protection locked="0"/>
    </xf>
    <xf numFmtId="10" fontId="2" fillId="3" borderId="86" xfId="2" applyNumberFormat="1" applyFont="1" applyFill="1" applyBorder="1" applyAlignment="1" applyProtection="1">
      <alignment horizontal="center" vertical="center"/>
      <protection locked="0"/>
    </xf>
    <xf numFmtId="43" fontId="2" fillId="0" borderId="86" xfId="1" applyFont="1" applyBorder="1" applyAlignment="1" applyProtection="1">
      <alignment horizontal="left" vertical="center"/>
      <protection locked="0"/>
    </xf>
    <xf numFmtId="43" fontId="2" fillId="0" borderId="86" xfId="1" applyFont="1" applyBorder="1" applyAlignment="1" applyProtection="1">
      <alignment horizontal="center" vertical="center"/>
      <protection locked="0"/>
    </xf>
    <xf numFmtId="43" fontId="2" fillId="0" borderId="85" xfId="1" applyFont="1" applyBorder="1" applyAlignment="1" applyProtection="1">
      <alignment horizontal="center" vertical="center"/>
      <protection locked="0"/>
    </xf>
    <xf numFmtId="43" fontId="2" fillId="3" borderId="85" xfId="1" applyFont="1" applyFill="1" applyBorder="1" applyAlignment="1" applyProtection="1">
      <alignment horizontal="center" vertical="center"/>
      <protection locked="0"/>
    </xf>
    <xf numFmtId="0" fontId="2" fillId="3" borderId="85" xfId="1" applyNumberFormat="1" applyFont="1" applyFill="1" applyBorder="1" applyAlignment="1" applyProtection="1">
      <alignment horizontal="center" vertical="center"/>
      <protection locked="0"/>
    </xf>
    <xf numFmtId="4" fontId="0" fillId="0" borderId="87" xfId="0" applyNumberFormat="1" applyBorder="1"/>
    <xf numFmtId="0" fontId="2" fillId="0" borderId="88" xfId="0" applyFont="1" applyBorder="1" applyAlignment="1" applyProtection="1">
      <alignment horizontal="center" vertical="center"/>
      <protection locked="0"/>
    </xf>
    <xf numFmtId="9" fontId="2" fillId="3" borderId="64" xfId="2" applyFont="1" applyFill="1" applyBorder="1" applyAlignment="1" applyProtection="1">
      <alignment horizontal="center"/>
      <protection locked="0"/>
    </xf>
    <xf numFmtId="43" fontId="2" fillId="0" borderId="65" xfId="1" applyFont="1" applyBorder="1" applyAlignment="1" applyProtection="1">
      <alignment horizontal="left" vertical="center"/>
      <protection locked="0"/>
    </xf>
    <xf numFmtId="43" fontId="2" fillId="0" borderId="89" xfId="1" applyFont="1" applyBorder="1" applyAlignment="1" applyProtection="1">
      <alignment horizontal="center" vertical="center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43" fontId="5" fillId="0" borderId="23" xfId="1" applyFont="1" applyBorder="1" applyAlignment="1" applyProtection="1">
      <alignment horizontal="left" vertical="center"/>
      <protection locked="0"/>
    </xf>
    <xf numFmtId="0" fontId="2" fillId="3" borderId="23" xfId="1" applyNumberFormat="1" applyFont="1" applyFill="1" applyBorder="1" applyAlignment="1" applyProtection="1">
      <alignment horizontal="center" vertical="center"/>
      <protection locked="0"/>
    </xf>
    <xf numFmtId="43" fontId="2" fillId="3" borderId="19" xfId="1" applyFont="1" applyFill="1" applyBorder="1" applyAlignment="1" applyProtection="1">
      <alignment horizontal="center" vertical="center"/>
      <protection locked="0"/>
    </xf>
    <xf numFmtId="43" fontId="5" fillId="0" borderId="89" xfId="1" applyFont="1" applyBorder="1" applyAlignment="1" applyProtection="1">
      <alignment horizontal="center" vertical="center"/>
      <protection locked="0"/>
    </xf>
    <xf numFmtId="164" fontId="5" fillId="0" borderId="23" xfId="1" applyNumberFormat="1" applyFont="1" applyFill="1" applyBorder="1" applyAlignment="1" applyProtection="1">
      <alignment horizontal="center" vertical="center"/>
      <protection locked="0"/>
    </xf>
    <xf numFmtId="43" fontId="5" fillId="0" borderId="23" xfId="1" applyFont="1" applyBorder="1" applyAlignment="1" applyProtection="1">
      <alignment horizontal="center" vertical="center"/>
      <protection locked="0"/>
    </xf>
    <xf numFmtId="43" fontId="2" fillId="0" borderId="91" xfId="1" applyFont="1" applyBorder="1" applyAlignment="1" applyProtection="1">
      <alignment horizontal="center" vertical="center"/>
      <protection locked="0"/>
    </xf>
    <xf numFmtId="4" fontId="0" fillId="0" borderId="92" xfId="0" applyNumberFormat="1" applyBorder="1"/>
    <xf numFmtId="0" fontId="0" fillId="0" borderId="74" xfId="0" applyBorder="1" applyAlignment="1" applyProtection="1">
      <alignment horizontal="center" vertical="center"/>
      <protection locked="0"/>
    </xf>
    <xf numFmtId="10" fontId="2" fillId="3" borderId="74" xfId="2" applyNumberFormat="1" applyFont="1" applyFill="1" applyBorder="1" applyAlignment="1" applyProtection="1">
      <alignment horizontal="center" vertical="center"/>
      <protection locked="0"/>
    </xf>
    <xf numFmtId="10" fontId="2" fillId="3" borderId="75" xfId="2" applyNumberFormat="1" applyFont="1" applyFill="1" applyBorder="1" applyAlignment="1" applyProtection="1">
      <alignment horizontal="center" vertical="center"/>
      <protection locked="0"/>
    </xf>
    <xf numFmtId="43" fontId="2" fillId="0" borderId="75" xfId="1" applyFont="1" applyBorder="1" applyAlignment="1" applyProtection="1">
      <alignment horizontal="left" vertical="center"/>
      <protection locked="0"/>
    </xf>
    <xf numFmtId="10" fontId="2" fillId="3" borderId="38" xfId="2" applyNumberFormat="1" applyFont="1" applyFill="1" applyBorder="1" applyAlignment="1" applyProtection="1">
      <alignment horizontal="center" vertical="center"/>
      <protection locked="0"/>
    </xf>
    <xf numFmtId="43" fontId="5" fillId="0" borderId="81" xfId="1" applyFont="1" applyBorder="1" applyAlignment="1" applyProtection="1">
      <alignment horizontal="center" vertical="center"/>
      <protection locked="0"/>
    </xf>
    <xf numFmtId="4" fontId="0" fillId="0" borderId="93" xfId="0" applyNumberFormat="1" applyBorder="1"/>
    <xf numFmtId="0" fontId="0" fillId="0" borderId="64" xfId="0" applyBorder="1" applyAlignment="1" applyProtection="1">
      <alignment horizontal="center" vertical="center"/>
      <protection locked="0"/>
    </xf>
    <xf numFmtId="10" fontId="2" fillId="3" borderId="64" xfId="2" applyNumberFormat="1" applyFont="1" applyFill="1" applyBorder="1" applyAlignment="1" applyProtection="1">
      <alignment horizontal="center" vertical="center"/>
      <protection locked="0"/>
    </xf>
    <xf numFmtId="4" fontId="0" fillId="0" borderId="95" xfId="0" applyNumberFormat="1" applyBorder="1"/>
    <xf numFmtId="0" fontId="0" fillId="0" borderId="96" xfId="0" applyBorder="1" applyAlignment="1" applyProtection="1">
      <alignment horizontal="center" vertical="center"/>
      <protection locked="0"/>
    </xf>
    <xf numFmtId="9" fontId="2" fillId="3" borderId="97" xfId="2" applyFont="1" applyFill="1" applyBorder="1" applyAlignment="1" applyProtection="1">
      <alignment horizontal="center"/>
      <protection locked="0"/>
    </xf>
    <xf numFmtId="43" fontId="2" fillId="0" borderId="98" xfId="1" applyFont="1" applyBorder="1" applyAlignment="1" applyProtection="1">
      <alignment horizontal="left" vertical="center"/>
      <protection locked="0"/>
    </xf>
    <xf numFmtId="43" fontId="2" fillId="0" borderId="98" xfId="1" applyFont="1" applyBorder="1" applyAlignment="1" applyProtection="1">
      <alignment horizontal="center" vertical="center"/>
      <protection locked="0"/>
    </xf>
    <xf numFmtId="43" fontId="2" fillId="0" borderId="97" xfId="1" applyFont="1" applyBorder="1" applyAlignment="1" applyProtection="1">
      <alignment horizontal="center" vertical="center"/>
      <protection locked="0"/>
    </xf>
    <xf numFmtId="43" fontId="2" fillId="3" borderId="97" xfId="1" applyFont="1" applyFill="1" applyBorder="1" applyAlignment="1" applyProtection="1">
      <alignment horizontal="center" vertical="center"/>
      <protection locked="0"/>
    </xf>
    <xf numFmtId="0" fontId="2" fillId="3" borderId="97" xfId="1" applyNumberFormat="1" applyFont="1" applyFill="1" applyBorder="1" applyAlignment="1" applyProtection="1">
      <alignment horizontal="center" vertical="center"/>
      <protection locked="0"/>
    </xf>
    <xf numFmtId="43" fontId="5" fillId="0" borderId="99" xfId="1" applyFont="1" applyBorder="1" applyAlignment="1" applyProtection="1">
      <alignment horizontal="left" vertical="center"/>
      <protection locked="0"/>
    </xf>
    <xf numFmtId="43" fontId="5" fillId="0" borderId="99" xfId="1" applyFont="1" applyBorder="1" applyAlignment="1" applyProtection="1">
      <alignment horizontal="center" vertical="center"/>
      <protection locked="0"/>
    </xf>
    <xf numFmtId="43" fontId="5" fillId="0" borderId="100" xfId="1" applyFont="1" applyBorder="1" applyAlignment="1" applyProtection="1">
      <alignment horizontal="left" vertical="center"/>
      <protection locked="0"/>
    </xf>
    <xf numFmtId="43" fontId="5" fillId="0" borderId="101" xfId="1" applyFont="1" applyBorder="1" applyAlignment="1" applyProtection="1">
      <alignment horizontal="left" vertical="center"/>
      <protection locked="0"/>
    </xf>
    <xf numFmtId="43" fontId="2" fillId="0" borderId="102" xfId="1" applyFont="1" applyBorder="1" applyAlignment="1" applyProtection="1">
      <alignment horizontal="center" vertical="center"/>
      <protection locked="0"/>
    </xf>
    <xf numFmtId="43" fontId="2" fillId="0" borderId="103" xfId="1" applyFont="1" applyBorder="1" applyAlignment="1" applyProtection="1">
      <alignment horizontal="center" vertical="center"/>
      <protection locked="0"/>
    </xf>
    <xf numFmtId="43" fontId="2" fillId="0" borderId="88" xfId="1" applyFont="1" applyBorder="1" applyAlignment="1" applyProtection="1">
      <alignment horizontal="center" vertical="center"/>
      <protection locked="0"/>
    </xf>
    <xf numFmtId="43" fontId="5" fillId="0" borderId="90" xfId="1" applyFont="1" applyBorder="1" applyAlignment="1" applyProtection="1">
      <alignment horizontal="left" vertical="center"/>
      <protection locked="0"/>
    </xf>
    <xf numFmtId="43" fontId="2" fillId="0" borderId="61" xfId="1" applyFont="1" applyBorder="1" applyAlignment="1" applyProtection="1">
      <alignment horizontal="center" vertical="center"/>
      <protection locked="0"/>
    </xf>
    <xf numFmtId="43" fontId="2" fillId="0" borderId="83" xfId="1" applyFont="1" applyBorder="1" applyAlignment="1" applyProtection="1">
      <alignment horizontal="center" vertical="center"/>
      <protection locked="0"/>
    </xf>
    <xf numFmtId="43" fontId="2" fillId="0" borderId="104" xfId="1" applyFont="1" applyBorder="1" applyAlignment="1" applyProtection="1">
      <alignment horizontal="center" vertical="center"/>
      <protection locked="0"/>
    </xf>
    <xf numFmtId="43" fontId="5" fillId="0" borderId="90" xfId="1" applyFont="1" applyBorder="1" applyAlignment="1" applyProtection="1">
      <alignment horizontal="center" vertical="center"/>
      <protection locked="0"/>
    </xf>
    <xf numFmtId="43" fontId="2" fillId="0" borderId="96" xfId="1" applyFont="1" applyBorder="1" applyAlignment="1" applyProtection="1">
      <alignment horizontal="center" vertical="center"/>
      <protection locked="0"/>
    </xf>
    <xf numFmtId="43" fontId="5" fillId="0" borderId="63" xfId="1" applyFont="1" applyBorder="1" applyAlignment="1" applyProtection="1">
      <alignment horizontal="left" vertical="center"/>
      <protection locked="0"/>
    </xf>
    <xf numFmtId="43" fontId="2" fillId="0" borderId="105" xfId="1" applyFont="1" applyBorder="1" applyAlignment="1" applyProtection="1">
      <alignment horizontal="center" vertical="center"/>
      <protection locked="0"/>
    </xf>
    <xf numFmtId="43" fontId="5" fillId="0" borderId="106" xfId="1" applyFont="1" applyBorder="1" applyAlignment="1" applyProtection="1">
      <alignment horizontal="left" vertical="center"/>
      <protection locked="0"/>
    </xf>
    <xf numFmtId="43" fontId="2" fillId="0" borderId="107" xfId="1" applyFont="1" applyBorder="1" applyAlignment="1" applyProtection="1">
      <alignment horizontal="center" vertical="center"/>
      <protection locked="0"/>
    </xf>
    <xf numFmtId="43" fontId="2" fillId="0" borderId="108" xfId="1" applyFont="1" applyBorder="1" applyAlignment="1" applyProtection="1">
      <alignment horizontal="center" vertical="center"/>
      <protection locked="0"/>
    </xf>
    <xf numFmtId="43" fontId="5" fillId="0" borderId="109" xfId="1" applyFont="1" applyBorder="1" applyAlignment="1" applyProtection="1">
      <alignment horizontal="left" vertical="center"/>
      <protection locked="0"/>
    </xf>
    <xf numFmtId="43" fontId="2" fillId="0" borderId="110" xfId="1" applyFont="1" applyBorder="1" applyAlignment="1" applyProtection="1">
      <alignment horizontal="center" vertical="center"/>
      <protection locked="0"/>
    </xf>
    <xf numFmtId="43" fontId="2" fillId="0" borderId="111" xfId="1" applyFont="1" applyBorder="1" applyAlignment="1" applyProtection="1">
      <alignment horizontal="center" vertical="center"/>
      <protection locked="0"/>
    </xf>
    <xf numFmtId="43" fontId="2" fillId="0" borderId="112" xfId="1" applyFont="1" applyBorder="1" applyAlignment="1" applyProtection="1">
      <alignment horizontal="center" vertical="center"/>
      <protection locked="0"/>
    </xf>
    <xf numFmtId="43" fontId="2" fillId="0" borderId="113" xfId="1" applyFont="1" applyBorder="1" applyAlignment="1" applyProtection="1">
      <alignment horizontal="center" vertical="center"/>
      <protection locked="0"/>
    </xf>
    <xf numFmtId="43" fontId="5" fillId="0" borderId="109" xfId="1" applyFont="1" applyBorder="1" applyAlignment="1" applyProtection="1">
      <alignment horizontal="center" vertical="center"/>
      <protection locked="0"/>
    </xf>
    <xf numFmtId="43" fontId="2" fillId="0" borderId="94" xfId="1" applyFont="1" applyBorder="1" applyAlignment="1" applyProtection="1">
      <alignment horizontal="center" vertical="center"/>
      <protection locked="0"/>
    </xf>
    <xf numFmtId="43" fontId="5" fillId="0" borderId="114" xfId="1" applyFont="1" applyBorder="1" applyAlignment="1" applyProtection="1">
      <alignment horizontal="left" vertical="center"/>
      <protection locked="0"/>
    </xf>
    <xf numFmtId="43" fontId="5" fillId="0" borderId="110" xfId="1" applyFont="1" applyBorder="1" applyAlignment="1" applyProtection="1">
      <alignment horizontal="left" vertical="center"/>
      <protection locked="0"/>
    </xf>
    <xf numFmtId="43" fontId="2" fillId="0" borderId="115" xfId="1" applyFont="1" applyBorder="1" applyAlignment="1" applyProtection="1">
      <alignment horizontal="center" vertical="center"/>
      <protection locked="0"/>
    </xf>
    <xf numFmtId="43" fontId="5" fillId="0" borderId="116" xfId="1" applyFont="1" applyBorder="1" applyAlignment="1" applyProtection="1">
      <alignment horizontal="left" vertical="center"/>
      <protection locked="0"/>
    </xf>
    <xf numFmtId="43" fontId="2" fillId="0" borderId="117" xfId="1" applyFont="1" applyBorder="1" applyAlignment="1" applyProtection="1">
      <alignment horizontal="center" vertical="center"/>
      <protection locked="0"/>
    </xf>
    <xf numFmtId="43" fontId="2" fillId="0" borderId="118" xfId="1" applyFont="1" applyBorder="1" applyAlignment="1" applyProtection="1">
      <alignment horizontal="center" vertical="center"/>
      <protection locked="0"/>
    </xf>
    <xf numFmtId="43" fontId="2" fillId="0" borderId="119" xfId="1" applyFont="1" applyBorder="1" applyAlignment="1" applyProtection="1">
      <alignment horizontal="center" vertical="center"/>
      <protection locked="0"/>
    </xf>
    <xf numFmtId="43" fontId="2" fillId="0" borderId="15" xfId="1" applyFont="1" applyBorder="1" applyAlignment="1" applyProtection="1">
      <alignment horizontal="center" vertical="center"/>
      <protection locked="0"/>
    </xf>
    <xf numFmtId="43" fontId="2" fillId="0" borderId="120" xfId="1" applyFont="1" applyBorder="1" applyAlignment="1" applyProtection="1">
      <alignment horizontal="center" vertical="center"/>
      <protection locked="0"/>
    </xf>
    <xf numFmtId="43" fontId="2" fillId="0" borderId="121" xfId="1" applyFont="1" applyBorder="1" applyAlignment="1" applyProtection="1">
      <alignment horizontal="center" vertical="center"/>
      <protection locked="0"/>
    </xf>
    <xf numFmtId="43" fontId="2" fillId="0" borderId="122" xfId="1" applyFont="1" applyBorder="1" applyAlignment="1" applyProtection="1">
      <alignment horizontal="center" vertical="center"/>
      <protection locked="0"/>
    </xf>
    <xf numFmtId="43" fontId="2" fillId="0" borderId="123" xfId="1" applyFont="1" applyBorder="1" applyAlignment="1" applyProtection="1">
      <alignment horizontal="center" vertical="center"/>
      <protection locked="0"/>
    </xf>
    <xf numFmtId="0" fontId="2" fillId="3" borderId="102" xfId="1" applyNumberFormat="1" applyFont="1" applyFill="1" applyBorder="1" applyAlignment="1" applyProtection="1">
      <alignment horizontal="center" vertical="center"/>
      <protection locked="0"/>
    </xf>
    <xf numFmtId="0" fontId="2" fillId="3" borderId="103" xfId="1" applyNumberFormat="1" applyFont="1" applyFill="1" applyBorder="1" applyAlignment="1" applyProtection="1">
      <alignment horizontal="center" vertical="center"/>
      <protection locked="0"/>
    </xf>
    <xf numFmtId="0" fontId="2" fillId="3" borderId="88" xfId="1" applyNumberFormat="1" applyFont="1" applyFill="1" applyBorder="1" applyAlignment="1" applyProtection="1">
      <alignment horizontal="center" vertical="center"/>
      <protection locked="0"/>
    </xf>
    <xf numFmtId="0" fontId="5" fillId="0" borderId="90" xfId="1" applyNumberFormat="1" applyFont="1" applyBorder="1" applyAlignment="1" applyProtection="1">
      <alignment horizontal="left" vertical="center"/>
      <protection locked="0"/>
    </xf>
    <xf numFmtId="0" fontId="2" fillId="0" borderId="61" xfId="1" applyNumberFormat="1" applyFont="1" applyBorder="1" applyAlignment="1" applyProtection="1">
      <alignment horizontal="center" vertical="center"/>
      <protection locked="0"/>
    </xf>
    <xf numFmtId="0" fontId="2" fillId="3" borderId="83" xfId="1" applyNumberFormat="1" applyFont="1" applyFill="1" applyBorder="1" applyAlignment="1" applyProtection="1">
      <alignment horizontal="center" vertical="center"/>
      <protection locked="0"/>
    </xf>
    <xf numFmtId="0" fontId="2" fillId="3" borderId="104" xfId="1" applyNumberFormat="1" applyFont="1" applyFill="1" applyBorder="1" applyAlignment="1" applyProtection="1">
      <alignment horizontal="center" vertical="center"/>
      <protection locked="0"/>
    </xf>
    <xf numFmtId="0" fontId="2" fillId="3" borderId="61" xfId="1" applyNumberFormat="1" applyFont="1" applyFill="1" applyBorder="1" applyAlignment="1" applyProtection="1">
      <alignment horizontal="center" vertical="center"/>
      <protection locked="0"/>
    </xf>
    <xf numFmtId="0" fontId="2" fillId="3" borderId="96" xfId="1" applyNumberFormat="1" applyFont="1" applyFill="1" applyBorder="1" applyAlignment="1" applyProtection="1">
      <alignment horizontal="center" vertical="center"/>
      <protection locked="0"/>
    </xf>
    <xf numFmtId="0" fontId="5" fillId="0" borderId="63" xfId="1" applyNumberFormat="1" applyFont="1" applyBorder="1" applyAlignment="1" applyProtection="1">
      <alignment horizontal="left" vertical="center"/>
      <protection locked="0"/>
    </xf>
    <xf numFmtId="0" fontId="2" fillId="3" borderId="105" xfId="1" applyNumberFormat="1" applyFont="1" applyFill="1" applyBorder="1" applyAlignment="1" applyProtection="1">
      <alignment horizontal="center" vertical="center"/>
      <protection locked="0"/>
    </xf>
    <xf numFmtId="43" fontId="2" fillId="0" borderId="116" xfId="1" applyFont="1" applyBorder="1" applyAlignment="1" applyProtection="1">
      <alignment horizontal="center" vertical="center"/>
      <protection locked="0"/>
    </xf>
    <xf numFmtId="4" fontId="0" fillId="0" borderId="124" xfId="0" applyNumberFormat="1" applyBorder="1"/>
    <xf numFmtId="0" fontId="2" fillId="0" borderId="5" xfId="0" applyFont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" fontId="2" fillId="0" borderId="5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4" fontId="5" fillId="0" borderId="5" xfId="0" applyNumberFormat="1" applyFont="1" applyBorder="1" applyAlignment="1" applyProtection="1">
      <alignment horizontal="left" vertical="center"/>
      <protection locked="0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10" fontId="5" fillId="0" borderId="5" xfId="2" applyNumberFormat="1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10" fontId="2" fillId="3" borderId="65" xfId="2" applyNumberFormat="1" applyFont="1" applyFill="1" applyBorder="1" applyAlignment="1" applyProtection="1">
      <alignment horizontal="center"/>
      <protection locked="0"/>
    </xf>
    <xf numFmtId="10" fontId="2" fillId="3" borderId="98" xfId="2" applyNumberFormat="1" applyFont="1" applyFill="1" applyBorder="1" applyAlignment="1" applyProtection="1">
      <alignment horizontal="center"/>
      <protection locked="0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BC63D-0038-4AAB-8329-EF64EF70C075}">
  <sheetPr>
    <pageSetUpPr fitToPage="1"/>
  </sheetPr>
  <dimension ref="A1:V68"/>
  <sheetViews>
    <sheetView tabSelected="1" zoomScaleNormal="100" workbookViewId="0">
      <selection activeCell="H28" sqref="H28"/>
    </sheetView>
  </sheetViews>
  <sheetFormatPr defaultColWidth="1.7109375" defaultRowHeight="12.75" x14ac:dyDescent="0.25"/>
  <cols>
    <col min="1" max="1" width="14.5703125" style="76" customWidth="1"/>
    <col min="2" max="2" width="11.42578125" style="76" customWidth="1"/>
    <col min="3" max="4" width="9.28515625" style="76" customWidth="1"/>
    <col min="5" max="5" width="16.140625" style="141" customWidth="1"/>
    <col min="6" max="6" width="9.28515625" style="76" bestFit="1" customWidth="1"/>
    <col min="7" max="7" width="11.42578125" style="76" bestFit="1" customWidth="1"/>
    <col min="8" max="8" width="15.7109375" style="76" customWidth="1"/>
    <col min="9" max="9" width="11" style="76" customWidth="1"/>
    <col min="10" max="10" width="11.140625" style="76" bestFit="1" customWidth="1"/>
    <col min="11" max="11" width="10.140625" style="76" bestFit="1" customWidth="1"/>
    <col min="12" max="12" width="14" style="76" bestFit="1" customWidth="1"/>
    <col min="13" max="14" width="14" style="76" customWidth="1"/>
    <col min="15" max="15" width="12.42578125" style="76" customWidth="1"/>
    <col min="16" max="16" width="10.28515625" style="76" bestFit="1" customWidth="1"/>
    <col min="17" max="17" width="12.7109375" style="76" bestFit="1" customWidth="1"/>
    <col min="18" max="18" width="11.7109375" style="76" bestFit="1" customWidth="1"/>
    <col min="19" max="19" width="12.7109375" style="76" bestFit="1" customWidth="1"/>
    <col min="20" max="20" width="11.140625" style="76" bestFit="1" customWidth="1"/>
    <col min="21" max="21" width="12.7109375" style="76" bestFit="1" customWidth="1"/>
    <col min="22" max="22" width="13.85546875" style="76" bestFit="1" customWidth="1"/>
    <col min="23" max="250" width="1.7109375" style="76"/>
    <col min="251" max="251" width="0.28515625" style="76" customWidth="1"/>
    <col min="252" max="252" width="0" style="76" hidden="1" customWidth="1"/>
    <col min="253" max="253" width="5" style="76" customWidth="1"/>
    <col min="254" max="254" width="8.5703125" style="76" customWidth="1"/>
    <col min="255" max="255" width="12" style="76" customWidth="1"/>
    <col min="256" max="256" width="11.28515625" style="76" customWidth="1"/>
    <col min="257" max="257" width="12.28515625" style="76" bestFit="1" customWidth="1"/>
    <col min="258" max="258" width="10.28515625" style="76" bestFit="1" customWidth="1"/>
    <col min="259" max="259" width="9" style="76" customWidth="1"/>
    <col min="260" max="260" width="2.42578125" style="76" customWidth="1"/>
    <col min="261" max="261" width="9" style="76" customWidth="1"/>
    <col min="262" max="262" width="11.7109375" style="76" customWidth="1"/>
    <col min="263" max="263" width="14" style="76" customWidth="1"/>
    <col min="264" max="264" width="10.7109375" style="76" customWidth="1"/>
    <col min="265" max="265" width="7.140625" style="76" customWidth="1"/>
    <col min="266" max="266" width="12" style="76" customWidth="1"/>
    <col min="267" max="267" width="10.85546875" style="76" customWidth="1"/>
    <col min="268" max="268" width="12" style="76" customWidth="1"/>
    <col min="269" max="269" width="7" style="76" customWidth="1"/>
    <col min="270" max="270" width="10.140625" style="76" customWidth="1"/>
    <col min="271" max="271" width="12.42578125" style="76" customWidth="1"/>
    <col min="272" max="506" width="1.7109375" style="76"/>
    <col min="507" max="507" width="0.28515625" style="76" customWidth="1"/>
    <col min="508" max="508" width="0" style="76" hidden="1" customWidth="1"/>
    <col min="509" max="509" width="5" style="76" customWidth="1"/>
    <col min="510" max="510" width="8.5703125" style="76" customWidth="1"/>
    <col min="511" max="511" width="12" style="76" customWidth="1"/>
    <col min="512" max="512" width="11.28515625" style="76" customWidth="1"/>
    <col min="513" max="513" width="12.28515625" style="76" bestFit="1" customWidth="1"/>
    <col min="514" max="514" width="10.28515625" style="76" bestFit="1" customWidth="1"/>
    <col min="515" max="515" width="9" style="76" customWidth="1"/>
    <col min="516" max="516" width="2.42578125" style="76" customWidth="1"/>
    <col min="517" max="517" width="9" style="76" customWidth="1"/>
    <col min="518" max="518" width="11.7109375" style="76" customWidth="1"/>
    <col min="519" max="519" width="14" style="76" customWidth="1"/>
    <col min="520" max="520" width="10.7109375" style="76" customWidth="1"/>
    <col min="521" max="521" width="7.140625" style="76" customWidth="1"/>
    <col min="522" max="522" width="12" style="76" customWidth="1"/>
    <col min="523" max="523" width="10.85546875" style="76" customWidth="1"/>
    <col min="524" max="524" width="12" style="76" customWidth="1"/>
    <col min="525" max="525" width="7" style="76" customWidth="1"/>
    <col min="526" max="526" width="10.140625" style="76" customWidth="1"/>
    <col min="527" max="527" width="12.42578125" style="76" customWidth="1"/>
    <col min="528" max="762" width="1.7109375" style="76"/>
    <col min="763" max="763" width="0.28515625" style="76" customWidth="1"/>
    <col min="764" max="764" width="0" style="76" hidden="1" customWidth="1"/>
    <col min="765" max="765" width="5" style="76" customWidth="1"/>
    <col min="766" max="766" width="8.5703125" style="76" customWidth="1"/>
    <col min="767" max="767" width="12" style="76" customWidth="1"/>
    <col min="768" max="768" width="11.28515625" style="76" customWidth="1"/>
    <col min="769" max="769" width="12.28515625" style="76" bestFit="1" customWidth="1"/>
    <col min="770" max="770" width="10.28515625" style="76" bestFit="1" customWidth="1"/>
    <col min="771" max="771" width="9" style="76" customWidth="1"/>
    <col min="772" max="772" width="2.42578125" style="76" customWidth="1"/>
    <col min="773" max="773" width="9" style="76" customWidth="1"/>
    <col min="774" max="774" width="11.7109375" style="76" customWidth="1"/>
    <col min="775" max="775" width="14" style="76" customWidth="1"/>
    <col min="776" max="776" width="10.7109375" style="76" customWidth="1"/>
    <col min="777" max="777" width="7.140625" style="76" customWidth="1"/>
    <col min="778" max="778" width="12" style="76" customWidth="1"/>
    <col min="779" max="779" width="10.85546875" style="76" customWidth="1"/>
    <col min="780" max="780" width="12" style="76" customWidth="1"/>
    <col min="781" max="781" width="7" style="76" customWidth="1"/>
    <col min="782" max="782" width="10.140625" style="76" customWidth="1"/>
    <col min="783" max="783" width="12.42578125" style="76" customWidth="1"/>
    <col min="784" max="1018" width="1.7109375" style="76"/>
    <col min="1019" max="1019" width="0.28515625" style="76" customWidth="1"/>
    <col min="1020" max="1020" width="0" style="76" hidden="1" customWidth="1"/>
    <col min="1021" max="1021" width="5" style="76" customWidth="1"/>
    <col min="1022" max="1022" width="8.5703125" style="76" customWidth="1"/>
    <col min="1023" max="1023" width="12" style="76" customWidth="1"/>
    <col min="1024" max="1024" width="11.28515625" style="76" customWidth="1"/>
    <col min="1025" max="1025" width="12.28515625" style="76" bestFit="1" customWidth="1"/>
    <col min="1026" max="1026" width="10.28515625" style="76" bestFit="1" customWidth="1"/>
    <col min="1027" max="1027" width="9" style="76" customWidth="1"/>
    <col min="1028" max="1028" width="2.42578125" style="76" customWidth="1"/>
    <col min="1029" max="1029" width="9" style="76" customWidth="1"/>
    <col min="1030" max="1030" width="11.7109375" style="76" customWidth="1"/>
    <col min="1031" max="1031" width="14" style="76" customWidth="1"/>
    <col min="1032" max="1032" width="10.7109375" style="76" customWidth="1"/>
    <col min="1033" max="1033" width="7.140625" style="76" customWidth="1"/>
    <col min="1034" max="1034" width="12" style="76" customWidth="1"/>
    <col min="1035" max="1035" width="10.85546875" style="76" customWidth="1"/>
    <col min="1036" max="1036" width="12" style="76" customWidth="1"/>
    <col min="1037" max="1037" width="7" style="76" customWidth="1"/>
    <col min="1038" max="1038" width="10.140625" style="76" customWidth="1"/>
    <col min="1039" max="1039" width="12.42578125" style="76" customWidth="1"/>
    <col min="1040" max="1274" width="1.7109375" style="76"/>
    <col min="1275" max="1275" width="0.28515625" style="76" customWidth="1"/>
    <col min="1276" max="1276" width="0" style="76" hidden="1" customWidth="1"/>
    <col min="1277" max="1277" width="5" style="76" customWidth="1"/>
    <col min="1278" max="1278" width="8.5703125" style="76" customWidth="1"/>
    <col min="1279" max="1279" width="12" style="76" customWidth="1"/>
    <col min="1280" max="1280" width="11.28515625" style="76" customWidth="1"/>
    <col min="1281" max="1281" width="12.28515625" style="76" bestFit="1" customWidth="1"/>
    <col min="1282" max="1282" width="10.28515625" style="76" bestFit="1" customWidth="1"/>
    <col min="1283" max="1283" width="9" style="76" customWidth="1"/>
    <col min="1284" max="1284" width="2.42578125" style="76" customWidth="1"/>
    <col min="1285" max="1285" width="9" style="76" customWidth="1"/>
    <col min="1286" max="1286" width="11.7109375" style="76" customWidth="1"/>
    <col min="1287" max="1287" width="14" style="76" customWidth="1"/>
    <col min="1288" max="1288" width="10.7109375" style="76" customWidth="1"/>
    <col min="1289" max="1289" width="7.140625" style="76" customWidth="1"/>
    <col min="1290" max="1290" width="12" style="76" customWidth="1"/>
    <col min="1291" max="1291" width="10.85546875" style="76" customWidth="1"/>
    <col min="1292" max="1292" width="12" style="76" customWidth="1"/>
    <col min="1293" max="1293" width="7" style="76" customWidth="1"/>
    <col min="1294" max="1294" width="10.140625" style="76" customWidth="1"/>
    <col min="1295" max="1295" width="12.42578125" style="76" customWidth="1"/>
    <col min="1296" max="1530" width="1.7109375" style="76"/>
    <col min="1531" max="1531" width="0.28515625" style="76" customWidth="1"/>
    <col min="1532" max="1532" width="0" style="76" hidden="1" customWidth="1"/>
    <col min="1533" max="1533" width="5" style="76" customWidth="1"/>
    <col min="1534" max="1534" width="8.5703125" style="76" customWidth="1"/>
    <col min="1535" max="1535" width="12" style="76" customWidth="1"/>
    <col min="1536" max="1536" width="11.28515625" style="76" customWidth="1"/>
    <col min="1537" max="1537" width="12.28515625" style="76" bestFit="1" customWidth="1"/>
    <col min="1538" max="1538" width="10.28515625" style="76" bestFit="1" customWidth="1"/>
    <col min="1539" max="1539" width="9" style="76" customWidth="1"/>
    <col min="1540" max="1540" width="2.42578125" style="76" customWidth="1"/>
    <col min="1541" max="1541" width="9" style="76" customWidth="1"/>
    <col min="1542" max="1542" width="11.7109375" style="76" customWidth="1"/>
    <col min="1543" max="1543" width="14" style="76" customWidth="1"/>
    <col min="1544" max="1544" width="10.7109375" style="76" customWidth="1"/>
    <col min="1545" max="1545" width="7.140625" style="76" customWidth="1"/>
    <col min="1546" max="1546" width="12" style="76" customWidth="1"/>
    <col min="1547" max="1547" width="10.85546875" style="76" customWidth="1"/>
    <col min="1548" max="1548" width="12" style="76" customWidth="1"/>
    <col min="1549" max="1549" width="7" style="76" customWidth="1"/>
    <col min="1550" max="1550" width="10.140625" style="76" customWidth="1"/>
    <col min="1551" max="1551" width="12.42578125" style="76" customWidth="1"/>
    <col min="1552" max="1786" width="1.7109375" style="76"/>
    <col min="1787" max="1787" width="0.28515625" style="76" customWidth="1"/>
    <col min="1788" max="1788" width="0" style="76" hidden="1" customWidth="1"/>
    <col min="1789" max="1789" width="5" style="76" customWidth="1"/>
    <col min="1790" max="1790" width="8.5703125" style="76" customWidth="1"/>
    <col min="1791" max="1791" width="12" style="76" customWidth="1"/>
    <col min="1792" max="1792" width="11.28515625" style="76" customWidth="1"/>
    <col min="1793" max="1793" width="12.28515625" style="76" bestFit="1" customWidth="1"/>
    <col min="1794" max="1794" width="10.28515625" style="76" bestFit="1" customWidth="1"/>
    <col min="1795" max="1795" width="9" style="76" customWidth="1"/>
    <col min="1796" max="1796" width="2.42578125" style="76" customWidth="1"/>
    <col min="1797" max="1797" width="9" style="76" customWidth="1"/>
    <col min="1798" max="1798" width="11.7109375" style="76" customWidth="1"/>
    <col min="1799" max="1799" width="14" style="76" customWidth="1"/>
    <col min="1800" max="1800" width="10.7109375" style="76" customWidth="1"/>
    <col min="1801" max="1801" width="7.140625" style="76" customWidth="1"/>
    <col min="1802" max="1802" width="12" style="76" customWidth="1"/>
    <col min="1803" max="1803" width="10.85546875" style="76" customWidth="1"/>
    <col min="1804" max="1804" width="12" style="76" customWidth="1"/>
    <col min="1805" max="1805" width="7" style="76" customWidth="1"/>
    <col min="1806" max="1806" width="10.140625" style="76" customWidth="1"/>
    <col min="1807" max="1807" width="12.42578125" style="76" customWidth="1"/>
    <col min="1808" max="2042" width="1.7109375" style="76"/>
    <col min="2043" max="2043" width="0.28515625" style="76" customWidth="1"/>
    <col min="2044" max="2044" width="0" style="76" hidden="1" customWidth="1"/>
    <col min="2045" max="2045" width="5" style="76" customWidth="1"/>
    <col min="2046" max="2046" width="8.5703125" style="76" customWidth="1"/>
    <col min="2047" max="2047" width="12" style="76" customWidth="1"/>
    <col min="2048" max="2048" width="11.28515625" style="76" customWidth="1"/>
    <col min="2049" max="2049" width="12.28515625" style="76" bestFit="1" customWidth="1"/>
    <col min="2050" max="2050" width="10.28515625" style="76" bestFit="1" customWidth="1"/>
    <col min="2051" max="2051" width="9" style="76" customWidth="1"/>
    <col min="2052" max="2052" width="2.42578125" style="76" customWidth="1"/>
    <col min="2053" max="2053" width="9" style="76" customWidth="1"/>
    <col min="2054" max="2054" width="11.7109375" style="76" customWidth="1"/>
    <col min="2055" max="2055" width="14" style="76" customWidth="1"/>
    <col min="2056" max="2056" width="10.7109375" style="76" customWidth="1"/>
    <col min="2057" max="2057" width="7.140625" style="76" customWidth="1"/>
    <col min="2058" max="2058" width="12" style="76" customWidth="1"/>
    <col min="2059" max="2059" width="10.85546875" style="76" customWidth="1"/>
    <col min="2060" max="2060" width="12" style="76" customWidth="1"/>
    <col min="2061" max="2061" width="7" style="76" customWidth="1"/>
    <col min="2062" max="2062" width="10.140625" style="76" customWidth="1"/>
    <col min="2063" max="2063" width="12.42578125" style="76" customWidth="1"/>
    <col min="2064" max="2298" width="1.7109375" style="76"/>
    <col min="2299" max="2299" width="0.28515625" style="76" customWidth="1"/>
    <col min="2300" max="2300" width="0" style="76" hidden="1" customWidth="1"/>
    <col min="2301" max="2301" width="5" style="76" customWidth="1"/>
    <col min="2302" max="2302" width="8.5703125" style="76" customWidth="1"/>
    <col min="2303" max="2303" width="12" style="76" customWidth="1"/>
    <col min="2304" max="2304" width="11.28515625" style="76" customWidth="1"/>
    <col min="2305" max="2305" width="12.28515625" style="76" bestFit="1" customWidth="1"/>
    <col min="2306" max="2306" width="10.28515625" style="76" bestFit="1" customWidth="1"/>
    <col min="2307" max="2307" width="9" style="76" customWidth="1"/>
    <col min="2308" max="2308" width="2.42578125" style="76" customWidth="1"/>
    <col min="2309" max="2309" width="9" style="76" customWidth="1"/>
    <col min="2310" max="2310" width="11.7109375" style="76" customWidth="1"/>
    <col min="2311" max="2311" width="14" style="76" customWidth="1"/>
    <col min="2312" max="2312" width="10.7109375" style="76" customWidth="1"/>
    <col min="2313" max="2313" width="7.140625" style="76" customWidth="1"/>
    <col min="2314" max="2314" width="12" style="76" customWidth="1"/>
    <col min="2315" max="2315" width="10.85546875" style="76" customWidth="1"/>
    <col min="2316" max="2316" width="12" style="76" customWidth="1"/>
    <col min="2317" max="2317" width="7" style="76" customWidth="1"/>
    <col min="2318" max="2318" width="10.140625" style="76" customWidth="1"/>
    <col min="2319" max="2319" width="12.42578125" style="76" customWidth="1"/>
    <col min="2320" max="2554" width="1.7109375" style="76"/>
    <col min="2555" max="2555" width="0.28515625" style="76" customWidth="1"/>
    <col min="2556" max="2556" width="0" style="76" hidden="1" customWidth="1"/>
    <col min="2557" max="2557" width="5" style="76" customWidth="1"/>
    <col min="2558" max="2558" width="8.5703125" style="76" customWidth="1"/>
    <col min="2559" max="2559" width="12" style="76" customWidth="1"/>
    <col min="2560" max="2560" width="11.28515625" style="76" customWidth="1"/>
    <col min="2561" max="2561" width="12.28515625" style="76" bestFit="1" customWidth="1"/>
    <col min="2562" max="2562" width="10.28515625" style="76" bestFit="1" customWidth="1"/>
    <col min="2563" max="2563" width="9" style="76" customWidth="1"/>
    <col min="2564" max="2564" width="2.42578125" style="76" customWidth="1"/>
    <col min="2565" max="2565" width="9" style="76" customWidth="1"/>
    <col min="2566" max="2566" width="11.7109375" style="76" customWidth="1"/>
    <col min="2567" max="2567" width="14" style="76" customWidth="1"/>
    <col min="2568" max="2568" width="10.7109375" style="76" customWidth="1"/>
    <col min="2569" max="2569" width="7.140625" style="76" customWidth="1"/>
    <col min="2570" max="2570" width="12" style="76" customWidth="1"/>
    <col min="2571" max="2571" width="10.85546875" style="76" customWidth="1"/>
    <col min="2572" max="2572" width="12" style="76" customWidth="1"/>
    <col min="2573" max="2573" width="7" style="76" customWidth="1"/>
    <col min="2574" max="2574" width="10.140625" style="76" customWidth="1"/>
    <col min="2575" max="2575" width="12.42578125" style="76" customWidth="1"/>
    <col min="2576" max="2810" width="1.7109375" style="76"/>
    <col min="2811" max="2811" width="0.28515625" style="76" customWidth="1"/>
    <col min="2812" max="2812" width="0" style="76" hidden="1" customWidth="1"/>
    <col min="2813" max="2813" width="5" style="76" customWidth="1"/>
    <col min="2814" max="2814" width="8.5703125" style="76" customWidth="1"/>
    <col min="2815" max="2815" width="12" style="76" customWidth="1"/>
    <col min="2816" max="2816" width="11.28515625" style="76" customWidth="1"/>
    <col min="2817" max="2817" width="12.28515625" style="76" bestFit="1" customWidth="1"/>
    <col min="2818" max="2818" width="10.28515625" style="76" bestFit="1" customWidth="1"/>
    <col min="2819" max="2819" width="9" style="76" customWidth="1"/>
    <col min="2820" max="2820" width="2.42578125" style="76" customWidth="1"/>
    <col min="2821" max="2821" width="9" style="76" customWidth="1"/>
    <col min="2822" max="2822" width="11.7109375" style="76" customWidth="1"/>
    <col min="2823" max="2823" width="14" style="76" customWidth="1"/>
    <col min="2824" max="2824" width="10.7109375" style="76" customWidth="1"/>
    <col min="2825" max="2825" width="7.140625" style="76" customWidth="1"/>
    <col min="2826" max="2826" width="12" style="76" customWidth="1"/>
    <col min="2827" max="2827" width="10.85546875" style="76" customWidth="1"/>
    <col min="2828" max="2828" width="12" style="76" customWidth="1"/>
    <col min="2829" max="2829" width="7" style="76" customWidth="1"/>
    <col min="2830" max="2830" width="10.140625" style="76" customWidth="1"/>
    <col min="2831" max="2831" width="12.42578125" style="76" customWidth="1"/>
    <col min="2832" max="3066" width="1.7109375" style="76"/>
    <col min="3067" max="3067" width="0.28515625" style="76" customWidth="1"/>
    <col min="3068" max="3068" width="0" style="76" hidden="1" customWidth="1"/>
    <col min="3069" max="3069" width="5" style="76" customWidth="1"/>
    <col min="3070" max="3070" width="8.5703125" style="76" customWidth="1"/>
    <col min="3071" max="3071" width="12" style="76" customWidth="1"/>
    <col min="3072" max="3072" width="11.28515625" style="76" customWidth="1"/>
    <col min="3073" max="3073" width="12.28515625" style="76" bestFit="1" customWidth="1"/>
    <col min="3074" max="3074" width="10.28515625" style="76" bestFit="1" customWidth="1"/>
    <col min="3075" max="3075" width="9" style="76" customWidth="1"/>
    <col min="3076" max="3076" width="2.42578125" style="76" customWidth="1"/>
    <col min="3077" max="3077" width="9" style="76" customWidth="1"/>
    <col min="3078" max="3078" width="11.7109375" style="76" customWidth="1"/>
    <col min="3079" max="3079" width="14" style="76" customWidth="1"/>
    <col min="3080" max="3080" width="10.7109375" style="76" customWidth="1"/>
    <col min="3081" max="3081" width="7.140625" style="76" customWidth="1"/>
    <col min="3082" max="3082" width="12" style="76" customWidth="1"/>
    <col min="3083" max="3083" width="10.85546875" style="76" customWidth="1"/>
    <col min="3084" max="3084" width="12" style="76" customWidth="1"/>
    <col min="3085" max="3085" width="7" style="76" customWidth="1"/>
    <col min="3086" max="3086" width="10.140625" style="76" customWidth="1"/>
    <col min="3087" max="3087" width="12.42578125" style="76" customWidth="1"/>
    <col min="3088" max="3322" width="1.7109375" style="76"/>
    <col min="3323" max="3323" width="0.28515625" style="76" customWidth="1"/>
    <col min="3324" max="3324" width="0" style="76" hidden="1" customWidth="1"/>
    <col min="3325" max="3325" width="5" style="76" customWidth="1"/>
    <col min="3326" max="3326" width="8.5703125" style="76" customWidth="1"/>
    <col min="3327" max="3327" width="12" style="76" customWidth="1"/>
    <col min="3328" max="3328" width="11.28515625" style="76" customWidth="1"/>
    <col min="3329" max="3329" width="12.28515625" style="76" bestFit="1" customWidth="1"/>
    <col min="3330" max="3330" width="10.28515625" style="76" bestFit="1" customWidth="1"/>
    <col min="3331" max="3331" width="9" style="76" customWidth="1"/>
    <col min="3332" max="3332" width="2.42578125" style="76" customWidth="1"/>
    <col min="3333" max="3333" width="9" style="76" customWidth="1"/>
    <col min="3334" max="3334" width="11.7109375" style="76" customWidth="1"/>
    <col min="3335" max="3335" width="14" style="76" customWidth="1"/>
    <col min="3336" max="3336" width="10.7109375" style="76" customWidth="1"/>
    <col min="3337" max="3337" width="7.140625" style="76" customWidth="1"/>
    <col min="3338" max="3338" width="12" style="76" customWidth="1"/>
    <col min="3339" max="3339" width="10.85546875" style="76" customWidth="1"/>
    <col min="3340" max="3340" width="12" style="76" customWidth="1"/>
    <col min="3341" max="3341" width="7" style="76" customWidth="1"/>
    <col min="3342" max="3342" width="10.140625" style="76" customWidth="1"/>
    <col min="3343" max="3343" width="12.42578125" style="76" customWidth="1"/>
    <col min="3344" max="3578" width="1.7109375" style="76"/>
    <col min="3579" max="3579" width="0.28515625" style="76" customWidth="1"/>
    <col min="3580" max="3580" width="0" style="76" hidden="1" customWidth="1"/>
    <col min="3581" max="3581" width="5" style="76" customWidth="1"/>
    <col min="3582" max="3582" width="8.5703125" style="76" customWidth="1"/>
    <col min="3583" max="3583" width="12" style="76" customWidth="1"/>
    <col min="3584" max="3584" width="11.28515625" style="76" customWidth="1"/>
    <col min="3585" max="3585" width="12.28515625" style="76" bestFit="1" customWidth="1"/>
    <col min="3586" max="3586" width="10.28515625" style="76" bestFit="1" customWidth="1"/>
    <col min="3587" max="3587" width="9" style="76" customWidth="1"/>
    <col min="3588" max="3588" width="2.42578125" style="76" customWidth="1"/>
    <col min="3589" max="3589" width="9" style="76" customWidth="1"/>
    <col min="3590" max="3590" width="11.7109375" style="76" customWidth="1"/>
    <col min="3591" max="3591" width="14" style="76" customWidth="1"/>
    <col min="3592" max="3592" width="10.7109375" style="76" customWidth="1"/>
    <col min="3593" max="3593" width="7.140625" style="76" customWidth="1"/>
    <col min="3594" max="3594" width="12" style="76" customWidth="1"/>
    <col min="3595" max="3595" width="10.85546875" style="76" customWidth="1"/>
    <col min="3596" max="3596" width="12" style="76" customWidth="1"/>
    <col min="3597" max="3597" width="7" style="76" customWidth="1"/>
    <col min="3598" max="3598" width="10.140625" style="76" customWidth="1"/>
    <col min="3599" max="3599" width="12.42578125" style="76" customWidth="1"/>
    <col min="3600" max="3834" width="1.7109375" style="76"/>
    <col min="3835" max="3835" width="0.28515625" style="76" customWidth="1"/>
    <col min="3836" max="3836" width="0" style="76" hidden="1" customWidth="1"/>
    <col min="3837" max="3837" width="5" style="76" customWidth="1"/>
    <col min="3838" max="3838" width="8.5703125" style="76" customWidth="1"/>
    <col min="3839" max="3839" width="12" style="76" customWidth="1"/>
    <col min="3840" max="3840" width="11.28515625" style="76" customWidth="1"/>
    <col min="3841" max="3841" width="12.28515625" style="76" bestFit="1" customWidth="1"/>
    <col min="3842" max="3842" width="10.28515625" style="76" bestFit="1" customWidth="1"/>
    <col min="3843" max="3843" width="9" style="76" customWidth="1"/>
    <col min="3844" max="3844" width="2.42578125" style="76" customWidth="1"/>
    <col min="3845" max="3845" width="9" style="76" customWidth="1"/>
    <col min="3846" max="3846" width="11.7109375" style="76" customWidth="1"/>
    <col min="3847" max="3847" width="14" style="76" customWidth="1"/>
    <col min="3848" max="3848" width="10.7109375" style="76" customWidth="1"/>
    <col min="3849" max="3849" width="7.140625" style="76" customWidth="1"/>
    <col min="3850" max="3850" width="12" style="76" customWidth="1"/>
    <col min="3851" max="3851" width="10.85546875" style="76" customWidth="1"/>
    <col min="3852" max="3852" width="12" style="76" customWidth="1"/>
    <col min="3853" max="3853" width="7" style="76" customWidth="1"/>
    <col min="3854" max="3854" width="10.140625" style="76" customWidth="1"/>
    <col min="3855" max="3855" width="12.42578125" style="76" customWidth="1"/>
    <col min="3856" max="4090" width="1.7109375" style="76"/>
    <col min="4091" max="4091" width="0.28515625" style="76" customWidth="1"/>
    <col min="4092" max="4092" width="0" style="76" hidden="1" customWidth="1"/>
    <col min="4093" max="4093" width="5" style="76" customWidth="1"/>
    <col min="4094" max="4094" width="8.5703125" style="76" customWidth="1"/>
    <col min="4095" max="4095" width="12" style="76" customWidth="1"/>
    <col min="4096" max="4096" width="11.28515625" style="76" customWidth="1"/>
    <col min="4097" max="4097" width="12.28515625" style="76" bestFit="1" customWidth="1"/>
    <col min="4098" max="4098" width="10.28515625" style="76" bestFit="1" customWidth="1"/>
    <col min="4099" max="4099" width="9" style="76" customWidth="1"/>
    <col min="4100" max="4100" width="2.42578125" style="76" customWidth="1"/>
    <col min="4101" max="4101" width="9" style="76" customWidth="1"/>
    <col min="4102" max="4102" width="11.7109375" style="76" customWidth="1"/>
    <col min="4103" max="4103" width="14" style="76" customWidth="1"/>
    <col min="4104" max="4104" width="10.7109375" style="76" customWidth="1"/>
    <col min="4105" max="4105" width="7.140625" style="76" customWidth="1"/>
    <col min="4106" max="4106" width="12" style="76" customWidth="1"/>
    <col min="4107" max="4107" width="10.85546875" style="76" customWidth="1"/>
    <col min="4108" max="4108" width="12" style="76" customWidth="1"/>
    <col min="4109" max="4109" width="7" style="76" customWidth="1"/>
    <col min="4110" max="4110" width="10.140625" style="76" customWidth="1"/>
    <col min="4111" max="4111" width="12.42578125" style="76" customWidth="1"/>
    <col min="4112" max="4346" width="1.7109375" style="76"/>
    <col min="4347" max="4347" width="0.28515625" style="76" customWidth="1"/>
    <col min="4348" max="4348" width="0" style="76" hidden="1" customWidth="1"/>
    <col min="4349" max="4349" width="5" style="76" customWidth="1"/>
    <col min="4350" max="4350" width="8.5703125" style="76" customWidth="1"/>
    <col min="4351" max="4351" width="12" style="76" customWidth="1"/>
    <col min="4352" max="4352" width="11.28515625" style="76" customWidth="1"/>
    <col min="4353" max="4353" width="12.28515625" style="76" bestFit="1" customWidth="1"/>
    <col min="4354" max="4354" width="10.28515625" style="76" bestFit="1" customWidth="1"/>
    <col min="4355" max="4355" width="9" style="76" customWidth="1"/>
    <col min="4356" max="4356" width="2.42578125" style="76" customWidth="1"/>
    <col min="4357" max="4357" width="9" style="76" customWidth="1"/>
    <col min="4358" max="4358" width="11.7109375" style="76" customWidth="1"/>
    <col min="4359" max="4359" width="14" style="76" customWidth="1"/>
    <col min="4360" max="4360" width="10.7109375" style="76" customWidth="1"/>
    <col min="4361" max="4361" width="7.140625" style="76" customWidth="1"/>
    <col min="4362" max="4362" width="12" style="76" customWidth="1"/>
    <col min="4363" max="4363" width="10.85546875" style="76" customWidth="1"/>
    <col min="4364" max="4364" width="12" style="76" customWidth="1"/>
    <col min="4365" max="4365" width="7" style="76" customWidth="1"/>
    <col min="4366" max="4366" width="10.140625" style="76" customWidth="1"/>
    <col min="4367" max="4367" width="12.42578125" style="76" customWidth="1"/>
    <col min="4368" max="4602" width="1.7109375" style="76"/>
    <col min="4603" max="4603" width="0.28515625" style="76" customWidth="1"/>
    <col min="4604" max="4604" width="0" style="76" hidden="1" customWidth="1"/>
    <col min="4605" max="4605" width="5" style="76" customWidth="1"/>
    <col min="4606" max="4606" width="8.5703125" style="76" customWidth="1"/>
    <col min="4607" max="4607" width="12" style="76" customWidth="1"/>
    <col min="4608" max="4608" width="11.28515625" style="76" customWidth="1"/>
    <col min="4609" max="4609" width="12.28515625" style="76" bestFit="1" customWidth="1"/>
    <col min="4610" max="4610" width="10.28515625" style="76" bestFit="1" customWidth="1"/>
    <col min="4611" max="4611" width="9" style="76" customWidth="1"/>
    <col min="4612" max="4612" width="2.42578125" style="76" customWidth="1"/>
    <col min="4613" max="4613" width="9" style="76" customWidth="1"/>
    <col min="4614" max="4614" width="11.7109375" style="76" customWidth="1"/>
    <col min="4615" max="4615" width="14" style="76" customWidth="1"/>
    <col min="4616" max="4616" width="10.7109375" style="76" customWidth="1"/>
    <col min="4617" max="4617" width="7.140625" style="76" customWidth="1"/>
    <col min="4618" max="4618" width="12" style="76" customWidth="1"/>
    <col min="4619" max="4619" width="10.85546875" style="76" customWidth="1"/>
    <col min="4620" max="4620" width="12" style="76" customWidth="1"/>
    <col min="4621" max="4621" width="7" style="76" customWidth="1"/>
    <col min="4622" max="4622" width="10.140625" style="76" customWidth="1"/>
    <col min="4623" max="4623" width="12.42578125" style="76" customWidth="1"/>
    <col min="4624" max="4858" width="1.7109375" style="76"/>
    <col min="4859" max="4859" width="0.28515625" style="76" customWidth="1"/>
    <col min="4860" max="4860" width="0" style="76" hidden="1" customWidth="1"/>
    <col min="4861" max="4861" width="5" style="76" customWidth="1"/>
    <col min="4862" max="4862" width="8.5703125" style="76" customWidth="1"/>
    <col min="4863" max="4863" width="12" style="76" customWidth="1"/>
    <col min="4864" max="4864" width="11.28515625" style="76" customWidth="1"/>
    <col min="4865" max="4865" width="12.28515625" style="76" bestFit="1" customWidth="1"/>
    <col min="4866" max="4866" width="10.28515625" style="76" bestFit="1" customWidth="1"/>
    <col min="4867" max="4867" width="9" style="76" customWidth="1"/>
    <col min="4868" max="4868" width="2.42578125" style="76" customWidth="1"/>
    <col min="4869" max="4869" width="9" style="76" customWidth="1"/>
    <col min="4870" max="4870" width="11.7109375" style="76" customWidth="1"/>
    <col min="4871" max="4871" width="14" style="76" customWidth="1"/>
    <col min="4872" max="4872" width="10.7109375" style="76" customWidth="1"/>
    <col min="4873" max="4873" width="7.140625" style="76" customWidth="1"/>
    <col min="4874" max="4874" width="12" style="76" customWidth="1"/>
    <col min="4875" max="4875" width="10.85546875" style="76" customWidth="1"/>
    <col min="4876" max="4876" width="12" style="76" customWidth="1"/>
    <col min="4877" max="4877" width="7" style="76" customWidth="1"/>
    <col min="4878" max="4878" width="10.140625" style="76" customWidth="1"/>
    <col min="4879" max="4879" width="12.42578125" style="76" customWidth="1"/>
    <col min="4880" max="5114" width="1.7109375" style="76"/>
    <col min="5115" max="5115" width="0.28515625" style="76" customWidth="1"/>
    <col min="5116" max="5116" width="0" style="76" hidden="1" customWidth="1"/>
    <col min="5117" max="5117" width="5" style="76" customWidth="1"/>
    <col min="5118" max="5118" width="8.5703125" style="76" customWidth="1"/>
    <col min="5119" max="5119" width="12" style="76" customWidth="1"/>
    <col min="5120" max="5120" width="11.28515625" style="76" customWidth="1"/>
    <col min="5121" max="5121" width="12.28515625" style="76" bestFit="1" customWidth="1"/>
    <col min="5122" max="5122" width="10.28515625" style="76" bestFit="1" customWidth="1"/>
    <col min="5123" max="5123" width="9" style="76" customWidth="1"/>
    <col min="5124" max="5124" width="2.42578125" style="76" customWidth="1"/>
    <col min="5125" max="5125" width="9" style="76" customWidth="1"/>
    <col min="5126" max="5126" width="11.7109375" style="76" customWidth="1"/>
    <col min="5127" max="5127" width="14" style="76" customWidth="1"/>
    <col min="5128" max="5128" width="10.7109375" style="76" customWidth="1"/>
    <col min="5129" max="5129" width="7.140625" style="76" customWidth="1"/>
    <col min="5130" max="5130" width="12" style="76" customWidth="1"/>
    <col min="5131" max="5131" width="10.85546875" style="76" customWidth="1"/>
    <col min="5132" max="5132" width="12" style="76" customWidth="1"/>
    <col min="5133" max="5133" width="7" style="76" customWidth="1"/>
    <col min="5134" max="5134" width="10.140625" style="76" customWidth="1"/>
    <col min="5135" max="5135" width="12.42578125" style="76" customWidth="1"/>
    <col min="5136" max="5370" width="1.7109375" style="76"/>
    <col min="5371" max="5371" width="0.28515625" style="76" customWidth="1"/>
    <col min="5372" max="5372" width="0" style="76" hidden="1" customWidth="1"/>
    <col min="5373" max="5373" width="5" style="76" customWidth="1"/>
    <col min="5374" max="5374" width="8.5703125" style="76" customWidth="1"/>
    <col min="5375" max="5375" width="12" style="76" customWidth="1"/>
    <col min="5376" max="5376" width="11.28515625" style="76" customWidth="1"/>
    <col min="5377" max="5377" width="12.28515625" style="76" bestFit="1" customWidth="1"/>
    <col min="5378" max="5378" width="10.28515625" style="76" bestFit="1" customWidth="1"/>
    <col min="5379" max="5379" width="9" style="76" customWidth="1"/>
    <col min="5380" max="5380" width="2.42578125" style="76" customWidth="1"/>
    <col min="5381" max="5381" width="9" style="76" customWidth="1"/>
    <col min="5382" max="5382" width="11.7109375" style="76" customWidth="1"/>
    <col min="5383" max="5383" width="14" style="76" customWidth="1"/>
    <col min="5384" max="5384" width="10.7109375" style="76" customWidth="1"/>
    <col min="5385" max="5385" width="7.140625" style="76" customWidth="1"/>
    <col min="5386" max="5386" width="12" style="76" customWidth="1"/>
    <col min="5387" max="5387" width="10.85546875" style="76" customWidth="1"/>
    <col min="5388" max="5388" width="12" style="76" customWidth="1"/>
    <col min="5389" max="5389" width="7" style="76" customWidth="1"/>
    <col min="5390" max="5390" width="10.140625" style="76" customWidth="1"/>
    <col min="5391" max="5391" width="12.42578125" style="76" customWidth="1"/>
    <col min="5392" max="5626" width="1.7109375" style="76"/>
    <col min="5627" max="5627" width="0.28515625" style="76" customWidth="1"/>
    <col min="5628" max="5628" width="0" style="76" hidden="1" customWidth="1"/>
    <col min="5629" max="5629" width="5" style="76" customWidth="1"/>
    <col min="5630" max="5630" width="8.5703125" style="76" customWidth="1"/>
    <col min="5631" max="5631" width="12" style="76" customWidth="1"/>
    <col min="5632" max="5632" width="11.28515625" style="76" customWidth="1"/>
    <col min="5633" max="5633" width="12.28515625" style="76" bestFit="1" customWidth="1"/>
    <col min="5634" max="5634" width="10.28515625" style="76" bestFit="1" customWidth="1"/>
    <col min="5635" max="5635" width="9" style="76" customWidth="1"/>
    <col min="5636" max="5636" width="2.42578125" style="76" customWidth="1"/>
    <col min="5637" max="5637" width="9" style="76" customWidth="1"/>
    <col min="5638" max="5638" width="11.7109375" style="76" customWidth="1"/>
    <col min="5639" max="5639" width="14" style="76" customWidth="1"/>
    <col min="5640" max="5640" width="10.7109375" style="76" customWidth="1"/>
    <col min="5641" max="5641" width="7.140625" style="76" customWidth="1"/>
    <col min="5642" max="5642" width="12" style="76" customWidth="1"/>
    <col min="5643" max="5643" width="10.85546875" style="76" customWidth="1"/>
    <col min="5644" max="5644" width="12" style="76" customWidth="1"/>
    <col min="5645" max="5645" width="7" style="76" customWidth="1"/>
    <col min="5646" max="5646" width="10.140625" style="76" customWidth="1"/>
    <col min="5647" max="5647" width="12.42578125" style="76" customWidth="1"/>
    <col min="5648" max="5882" width="1.7109375" style="76"/>
    <col min="5883" max="5883" width="0.28515625" style="76" customWidth="1"/>
    <col min="5884" max="5884" width="0" style="76" hidden="1" customWidth="1"/>
    <col min="5885" max="5885" width="5" style="76" customWidth="1"/>
    <col min="5886" max="5886" width="8.5703125" style="76" customWidth="1"/>
    <col min="5887" max="5887" width="12" style="76" customWidth="1"/>
    <col min="5888" max="5888" width="11.28515625" style="76" customWidth="1"/>
    <col min="5889" max="5889" width="12.28515625" style="76" bestFit="1" customWidth="1"/>
    <col min="5890" max="5890" width="10.28515625" style="76" bestFit="1" customWidth="1"/>
    <col min="5891" max="5891" width="9" style="76" customWidth="1"/>
    <col min="5892" max="5892" width="2.42578125" style="76" customWidth="1"/>
    <col min="5893" max="5893" width="9" style="76" customWidth="1"/>
    <col min="5894" max="5894" width="11.7109375" style="76" customWidth="1"/>
    <col min="5895" max="5895" width="14" style="76" customWidth="1"/>
    <col min="5896" max="5896" width="10.7109375" style="76" customWidth="1"/>
    <col min="5897" max="5897" width="7.140625" style="76" customWidth="1"/>
    <col min="5898" max="5898" width="12" style="76" customWidth="1"/>
    <col min="5899" max="5899" width="10.85546875" style="76" customWidth="1"/>
    <col min="5900" max="5900" width="12" style="76" customWidth="1"/>
    <col min="5901" max="5901" width="7" style="76" customWidth="1"/>
    <col min="5902" max="5902" width="10.140625" style="76" customWidth="1"/>
    <col min="5903" max="5903" width="12.42578125" style="76" customWidth="1"/>
    <col min="5904" max="6138" width="1.7109375" style="76"/>
    <col min="6139" max="6139" width="0.28515625" style="76" customWidth="1"/>
    <col min="6140" max="6140" width="0" style="76" hidden="1" customWidth="1"/>
    <col min="6141" max="6141" width="5" style="76" customWidth="1"/>
    <col min="6142" max="6142" width="8.5703125" style="76" customWidth="1"/>
    <col min="6143" max="6143" width="12" style="76" customWidth="1"/>
    <col min="6144" max="6144" width="11.28515625" style="76" customWidth="1"/>
    <col min="6145" max="6145" width="12.28515625" style="76" bestFit="1" customWidth="1"/>
    <col min="6146" max="6146" width="10.28515625" style="76" bestFit="1" customWidth="1"/>
    <col min="6147" max="6147" width="9" style="76" customWidth="1"/>
    <col min="6148" max="6148" width="2.42578125" style="76" customWidth="1"/>
    <col min="6149" max="6149" width="9" style="76" customWidth="1"/>
    <col min="6150" max="6150" width="11.7109375" style="76" customWidth="1"/>
    <col min="6151" max="6151" width="14" style="76" customWidth="1"/>
    <col min="6152" max="6152" width="10.7109375" style="76" customWidth="1"/>
    <col min="6153" max="6153" width="7.140625" style="76" customWidth="1"/>
    <col min="6154" max="6154" width="12" style="76" customWidth="1"/>
    <col min="6155" max="6155" width="10.85546875" style="76" customWidth="1"/>
    <col min="6156" max="6156" width="12" style="76" customWidth="1"/>
    <col min="6157" max="6157" width="7" style="76" customWidth="1"/>
    <col min="6158" max="6158" width="10.140625" style="76" customWidth="1"/>
    <col min="6159" max="6159" width="12.42578125" style="76" customWidth="1"/>
    <col min="6160" max="6394" width="1.7109375" style="76"/>
    <col min="6395" max="6395" width="0.28515625" style="76" customWidth="1"/>
    <col min="6396" max="6396" width="0" style="76" hidden="1" customWidth="1"/>
    <col min="6397" max="6397" width="5" style="76" customWidth="1"/>
    <col min="6398" max="6398" width="8.5703125" style="76" customWidth="1"/>
    <col min="6399" max="6399" width="12" style="76" customWidth="1"/>
    <col min="6400" max="6400" width="11.28515625" style="76" customWidth="1"/>
    <col min="6401" max="6401" width="12.28515625" style="76" bestFit="1" customWidth="1"/>
    <col min="6402" max="6402" width="10.28515625" style="76" bestFit="1" customWidth="1"/>
    <col min="6403" max="6403" width="9" style="76" customWidth="1"/>
    <col min="6404" max="6404" width="2.42578125" style="76" customWidth="1"/>
    <col min="6405" max="6405" width="9" style="76" customWidth="1"/>
    <col min="6406" max="6406" width="11.7109375" style="76" customWidth="1"/>
    <col min="6407" max="6407" width="14" style="76" customWidth="1"/>
    <col min="6408" max="6408" width="10.7109375" style="76" customWidth="1"/>
    <col min="6409" max="6409" width="7.140625" style="76" customWidth="1"/>
    <col min="6410" max="6410" width="12" style="76" customWidth="1"/>
    <col min="6411" max="6411" width="10.85546875" style="76" customWidth="1"/>
    <col min="6412" max="6412" width="12" style="76" customWidth="1"/>
    <col min="6413" max="6413" width="7" style="76" customWidth="1"/>
    <col min="6414" max="6414" width="10.140625" style="76" customWidth="1"/>
    <col min="6415" max="6415" width="12.42578125" style="76" customWidth="1"/>
    <col min="6416" max="6650" width="1.7109375" style="76"/>
    <col min="6651" max="6651" width="0.28515625" style="76" customWidth="1"/>
    <col min="6652" max="6652" width="0" style="76" hidden="1" customWidth="1"/>
    <col min="6653" max="6653" width="5" style="76" customWidth="1"/>
    <col min="6654" max="6654" width="8.5703125" style="76" customWidth="1"/>
    <col min="6655" max="6655" width="12" style="76" customWidth="1"/>
    <col min="6656" max="6656" width="11.28515625" style="76" customWidth="1"/>
    <col min="6657" max="6657" width="12.28515625" style="76" bestFit="1" customWidth="1"/>
    <col min="6658" max="6658" width="10.28515625" style="76" bestFit="1" customWidth="1"/>
    <col min="6659" max="6659" width="9" style="76" customWidth="1"/>
    <col min="6660" max="6660" width="2.42578125" style="76" customWidth="1"/>
    <col min="6661" max="6661" width="9" style="76" customWidth="1"/>
    <col min="6662" max="6662" width="11.7109375" style="76" customWidth="1"/>
    <col min="6663" max="6663" width="14" style="76" customWidth="1"/>
    <col min="6664" max="6664" width="10.7109375" style="76" customWidth="1"/>
    <col min="6665" max="6665" width="7.140625" style="76" customWidth="1"/>
    <col min="6666" max="6666" width="12" style="76" customWidth="1"/>
    <col min="6667" max="6667" width="10.85546875" style="76" customWidth="1"/>
    <col min="6668" max="6668" width="12" style="76" customWidth="1"/>
    <col min="6669" max="6669" width="7" style="76" customWidth="1"/>
    <col min="6670" max="6670" width="10.140625" style="76" customWidth="1"/>
    <col min="6671" max="6671" width="12.42578125" style="76" customWidth="1"/>
    <col min="6672" max="6906" width="1.7109375" style="76"/>
    <col min="6907" max="6907" width="0.28515625" style="76" customWidth="1"/>
    <col min="6908" max="6908" width="0" style="76" hidden="1" customWidth="1"/>
    <col min="6909" max="6909" width="5" style="76" customWidth="1"/>
    <col min="6910" max="6910" width="8.5703125" style="76" customWidth="1"/>
    <col min="6911" max="6911" width="12" style="76" customWidth="1"/>
    <col min="6912" max="6912" width="11.28515625" style="76" customWidth="1"/>
    <col min="6913" max="6913" width="12.28515625" style="76" bestFit="1" customWidth="1"/>
    <col min="6914" max="6914" width="10.28515625" style="76" bestFit="1" customWidth="1"/>
    <col min="6915" max="6915" width="9" style="76" customWidth="1"/>
    <col min="6916" max="6916" width="2.42578125" style="76" customWidth="1"/>
    <col min="6917" max="6917" width="9" style="76" customWidth="1"/>
    <col min="6918" max="6918" width="11.7109375" style="76" customWidth="1"/>
    <col min="6919" max="6919" width="14" style="76" customWidth="1"/>
    <col min="6920" max="6920" width="10.7109375" style="76" customWidth="1"/>
    <col min="6921" max="6921" width="7.140625" style="76" customWidth="1"/>
    <col min="6922" max="6922" width="12" style="76" customWidth="1"/>
    <col min="6923" max="6923" width="10.85546875" style="76" customWidth="1"/>
    <col min="6924" max="6924" width="12" style="76" customWidth="1"/>
    <col min="6925" max="6925" width="7" style="76" customWidth="1"/>
    <col min="6926" max="6926" width="10.140625" style="76" customWidth="1"/>
    <col min="6927" max="6927" width="12.42578125" style="76" customWidth="1"/>
    <col min="6928" max="7162" width="1.7109375" style="76"/>
    <col min="7163" max="7163" width="0.28515625" style="76" customWidth="1"/>
    <col min="7164" max="7164" width="0" style="76" hidden="1" customWidth="1"/>
    <col min="7165" max="7165" width="5" style="76" customWidth="1"/>
    <col min="7166" max="7166" width="8.5703125" style="76" customWidth="1"/>
    <col min="7167" max="7167" width="12" style="76" customWidth="1"/>
    <col min="7168" max="7168" width="11.28515625" style="76" customWidth="1"/>
    <col min="7169" max="7169" width="12.28515625" style="76" bestFit="1" customWidth="1"/>
    <col min="7170" max="7170" width="10.28515625" style="76" bestFit="1" customWidth="1"/>
    <col min="7171" max="7171" width="9" style="76" customWidth="1"/>
    <col min="7172" max="7172" width="2.42578125" style="76" customWidth="1"/>
    <col min="7173" max="7173" width="9" style="76" customWidth="1"/>
    <col min="7174" max="7174" width="11.7109375" style="76" customWidth="1"/>
    <col min="7175" max="7175" width="14" style="76" customWidth="1"/>
    <col min="7176" max="7176" width="10.7109375" style="76" customWidth="1"/>
    <col min="7177" max="7177" width="7.140625" style="76" customWidth="1"/>
    <col min="7178" max="7178" width="12" style="76" customWidth="1"/>
    <col min="7179" max="7179" width="10.85546875" style="76" customWidth="1"/>
    <col min="7180" max="7180" width="12" style="76" customWidth="1"/>
    <col min="7181" max="7181" width="7" style="76" customWidth="1"/>
    <col min="7182" max="7182" width="10.140625" style="76" customWidth="1"/>
    <col min="7183" max="7183" width="12.42578125" style="76" customWidth="1"/>
    <col min="7184" max="7418" width="1.7109375" style="76"/>
    <col min="7419" max="7419" width="0.28515625" style="76" customWidth="1"/>
    <col min="7420" max="7420" width="0" style="76" hidden="1" customWidth="1"/>
    <col min="7421" max="7421" width="5" style="76" customWidth="1"/>
    <col min="7422" max="7422" width="8.5703125" style="76" customWidth="1"/>
    <col min="7423" max="7423" width="12" style="76" customWidth="1"/>
    <col min="7424" max="7424" width="11.28515625" style="76" customWidth="1"/>
    <col min="7425" max="7425" width="12.28515625" style="76" bestFit="1" customWidth="1"/>
    <col min="7426" max="7426" width="10.28515625" style="76" bestFit="1" customWidth="1"/>
    <col min="7427" max="7427" width="9" style="76" customWidth="1"/>
    <col min="7428" max="7428" width="2.42578125" style="76" customWidth="1"/>
    <col min="7429" max="7429" width="9" style="76" customWidth="1"/>
    <col min="7430" max="7430" width="11.7109375" style="76" customWidth="1"/>
    <col min="7431" max="7431" width="14" style="76" customWidth="1"/>
    <col min="7432" max="7432" width="10.7109375" style="76" customWidth="1"/>
    <col min="7433" max="7433" width="7.140625" style="76" customWidth="1"/>
    <col min="7434" max="7434" width="12" style="76" customWidth="1"/>
    <col min="7435" max="7435" width="10.85546875" style="76" customWidth="1"/>
    <col min="7436" max="7436" width="12" style="76" customWidth="1"/>
    <col min="7437" max="7437" width="7" style="76" customWidth="1"/>
    <col min="7438" max="7438" width="10.140625" style="76" customWidth="1"/>
    <col min="7439" max="7439" width="12.42578125" style="76" customWidth="1"/>
    <col min="7440" max="7674" width="1.7109375" style="76"/>
    <col min="7675" max="7675" width="0.28515625" style="76" customWidth="1"/>
    <col min="7676" max="7676" width="0" style="76" hidden="1" customWidth="1"/>
    <col min="7677" max="7677" width="5" style="76" customWidth="1"/>
    <col min="7678" max="7678" width="8.5703125" style="76" customWidth="1"/>
    <col min="7679" max="7679" width="12" style="76" customWidth="1"/>
    <col min="7680" max="7680" width="11.28515625" style="76" customWidth="1"/>
    <col min="7681" max="7681" width="12.28515625" style="76" bestFit="1" customWidth="1"/>
    <col min="7682" max="7682" width="10.28515625" style="76" bestFit="1" customWidth="1"/>
    <col min="7683" max="7683" width="9" style="76" customWidth="1"/>
    <col min="7684" max="7684" width="2.42578125" style="76" customWidth="1"/>
    <col min="7685" max="7685" width="9" style="76" customWidth="1"/>
    <col min="7686" max="7686" width="11.7109375" style="76" customWidth="1"/>
    <col min="7687" max="7687" width="14" style="76" customWidth="1"/>
    <col min="7688" max="7688" width="10.7109375" style="76" customWidth="1"/>
    <col min="7689" max="7689" width="7.140625" style="76" customWidth="1"/>
    <col min="7690" max="7690" width="12" style="76" customWidth="1"/>
    <col min="7691" max="7691" width="10.85546875" style="76" customWidth="1"/>
    <col min="7692" max="7692" width="12" style="76" customWidth="1"/>
    <col min="7693" max="7693" width="7" style="76" customWidth="1"/>
    <col min="7694" max="7694" width="10.140625" style="76" customWidth="1"/>
    <col min="7695" max="7695" width="12.42578125" style="76" customWidth="1"/>
    <col min="7696" max="7930" width="1.7109375" style="76"/>
    <col min="7931" max="7931" width="0.28515625" style="76" customWidth="1"/>
    <col min="7932" max="7932" width="0" style="76" hidden="1" customWidth="1"/>
    <col min="7933" max="7933" width="5" style="76" customWidth="1"/>
    <col min="7934" max="7934" width="8.5703125" style="76" customWidth="1"/>
    <col min="7935" max="7935" width="12" style="76" customWidth="1"/>
    <col min="7936" max="7936" width="11.28515625" style="76" customWidth="1"/>
    <col min="7937" max="7937" width="12.28515625" style="76" bestFit="1" customWidth="1"/>
    <col min="7938" max="7938" width="10.28515625" style="76" bestFit="1" customWidth="1"/>
    <col min="7939" max="7939" width="9" style="76" customWidth="1"/>
    <col min="7940" max="7940" width="2.42578125" style="76" customWidth="1"/>
    <col min="7941" max="7941" width="9" style="76" customWidth="1"/>
    <col min="7942" max="7942" width="11.7109375" style="76" customWidth="1"/>
    <col min="7943" max="7943" width="14" style="76" customWidth="1"/>
    <col min="7944" max="7944" width="10.7109375" style="76" customWidth="1"/>
    <col min="7945" max="7945" width="7.140625" style="76" customWidth="1"/>
    <col min="7946" max="7946" width="12" style="76" customWidth="1"/>
    <col min="7947" max="7947" width="10.85546875" style="76" customWidth="1"/>
    <col min="7948" max="7948" width="12" style="76" customWidth="1"/>
    <col min="7949" max="7949" width="7" style="76" customWidth="1"/>
    <col min="7950" max="7950" width="10.140625" style="76" customWidth="1"/>
    <col min="7951" max="7951" width="12.42578125" style="76" customWidth="1"/>
    <col min="7952" max="8186" width="1.7109375" style="76"/>
    <col min="8187" max="8187" width="0.28515625" style="76" customWidth="1"/>
    <col min="8188" max="8188" width="0" style="76" hidden="1" customWidth="1"/>
    <col min="8189" max="8189" width="5" style="76" customWidth="1"/>
    <col min="8190" max="8190" width="8.5703125" style="76" customWidth="1"/>
    <col min="8191" max="8191" width="12" style="76" customWidth="1"/>
    <col min="8192" max="8192" width="11.28515625" style="76" customWidth="1"/>
    <col min="8193" max="8193" width="12.28515625" style="76" bestFit="1" customWidth="1"/>
    <col min="8194" max="8194" width="10.28515625" style="76" bestFit="1" customWidth="1"/>
    <col min="8195" max="8195" width="9" style="76" customWidth="1"/>
    <col min="8196" max="8196" width="2.42578125" style="76" customWidth="1"/>
    <col min="8197" max="8197" width="9" style="76" customWidth="1"/>
    <col min="8198" max="8198" width="11.7109375" style="76" customWidth="1"/>
    <col min="8199" max="8199" width="14" style="76" customWidth="1"/>
    <col min="8200" max="8200" width="10.7109375" style="76" customWidth="1"/>
    <col min="8201" max="8201" width="7.140625" style="76" customWidth="1"/>
    <col min="8202" max="8202" width="12" style="76" customWidth="1"/>
    <col min="8203" max="8203" width="10.85546875" style="76" customWidth="1"/>
    <col min="8204" max="8204" width="12" style="76" customWidth="1"/>
    <col min="8205" max="8205" width="7" style="76" customWidth="1"/>
    <col min="8206" max="8206" width="10.140625" style="76" customWidth="1"/>
    <col min="8207" max="8207" width="12.42578125" style="76" customWidth="1"/>
    <col min="8208" max="8442" width="1.7109375" style="76"/>
    <col min="8443" max="8443" width="0.28515625" style="76" customWidth="1"/>
    <col min="8444" max="8444" width="0" style="76" hidden="1" customWidth="1"/>
    <col min="8445" max="8445" width="5" style="76" customWidth="1"/>
    <col min="8446" max="8446" width="8.5703125" style="76" customWidth="1"/>
    <col min="8447" max="8447" width="12" style="76" customWidth="1"/>
    <col min="8448" max="8448" width="11.28515625" style="76" customWidth="1"/>
    <col min="8449" max="8449" width="12.28515625" style="76" bestFit="1" customWidth="1"/>
    <col min="8450" max="8450" width="10.28515625" style="76" bestFit="1" customWidth="1"/>
    <col min="8451" max="8451" width="9" style="76" customWidth="1"/>
    <col min="8452" max="8452" width="2.42578125" style="76" customWidth="1"/>
    <col min="8453" max="8453" width="9" style="76" customWidth="1"/>
    <col min="8454" max="8454" width="11.7109375" style="76" customWidth="1"/>
    <col min="8455" max="8455" width="14" style="76" customWidth="1"/>
    <col min="8456" max="8456" width="10.7109375" style="76" customWidth="1"/>
    <col min="8457" max="8457" width="7.140625" style="76" customWidth="1"/>
    <col min="8458" max="8458" width="12" style="76" customWidth="1"/>
    <col min="8459" max="8459" width="10.85546875" style="76" customWidth="1"/>
    <col min="8460" max="8460" width="12" style="76" customWidth="1"/>
    <col min="8461" max="8461" width="7" style="76" customWidth="1"/>
    <col min="8462" max="8462" width="10.140625" style="76" customWidth="1"/>
    <col min="8463" max="8463" width="12.42578125" style="76" customWidth="1"/>
    <col min="8464" max="8698" width="1.7109375" style="76"/>
    <col min="8699" max="8699" width="0.28515625" style="76" customWidth="1"/>
    <col min="8700" max="8700" width="0" style="76" hidden="1" customWidth="1"/>
    <col min="8701" max="8701" width="5" style="76" customWidth="1"/>
    <col min="8702" max="8702" width="8.5703125" style="76" customWidth="1"/>
    <col min="8703" max="8703" width="12" style="76" customWidth="1"/>
    <col min="8704" max="8704" width="11.28515625" style="76" customWidth="1"/>
    <col min="8705" max="8705" width="12.28515625" style="76" bestFit="1" customWidth="1"/>
    <col min="8706" max="8706" width="10.28515625" style="76" bestFit="1" customWidth="1"/>
    <col min="8707" max="8707" width="9" style="76" customWidth="1"/>
    <col min="8708" max="8708" width="2.42578125" style="76" customWidth="1"/>
    <col min="8709" max="8709" width="9" style="76" customWidth="1"/>
    <col min="8710" max="8710" width="11.7109375" style="76" customWidth="1"/>
    <col min="8711" max="8711" width="14" style="76" customWidth="1"/>
    <col min="8712" max="8712" width="10.7109375" style="76" customWidth="1"/>
    <col min="8713" max="8713" width="7.140625" style="76" customWidth="1"/>
    <col min="8714" max="8714" width="12" style="76" customWidth="1"/>
    <col min="8715" max="8715" width="10.85546875" style="76" customWidth="1"/>
    <col min="8716" max="8716" width="12" style="76" customWidth="1"/>
    <col min="8717" max="8717" width="7" style="76" customWidth="1"/>
    <col min="8718" max="8718" width="10.140625" style="76" customWidth="1"/>
    <col min="8719" max="8719" width="12.42578125" style="76" customWidth="1"/>
    <col min="8720" max="8954" width="1.7109375" style="76"/>
    <col min="8955" max="8955" width="0.28515625" style="76" customWidth="1"/>
    <col min="8956" max="8956" width="0" style="76" hidden="1" customWidth="1"/>
    <col min="8957" max="8957" width="5" style="76" customWidth="1"/>
    <col min="8958" max="8958" width="8.5703125" style="76" customWidth="1"/>
    <col min="8959" max="8959" width="12" style="76" customWidth="1"/>
    <col min="8960" max="8960" width="11.28515625" style="76" customWidth="1"/>
    <col min="8961" max="8961" width="12.28515625" style="76" bestFit="1" customWidth="1"/>
    <col min="8962" max="8962" width="10.28515625" style="76" bestFit="1" customWidth="1"/>
    <col min="8963" max="8963" width="9" style="76" customWidth="1"/>
    <col min="8964" max="8964" width="2.42578125" style="76" customWidth="1"/>
    <col min="8965" max="8965" width="9" style="76" customWidth="1"/>
    <col min="8966" max="8966" width="11.7109375" style="76" customWidth="1"/>
    <col min="8967" max="8967" width="14" style="76" customWidth="1"/>
    <col min="8968" max="8968" width="10.7109375" style="76" customWidth="1"/>
    <col min="8969" max="8969" width="7.140625" style="76" customWidth="1"/>
    <col min="8970" max="8970" width="12" style="76" customWidth="1"/>
    <col min="8971" max="8971" width="10.85546875" style="76" customWidth="1"/>
    <col min="8972" max="8972" width="12" style="76" customWidth="1"/>
    <col min="8973" max="8973" width="7" style="76" customWidth="1"/>
    <col min="8974" max="8974" width="10.140625" style="76" customWidth="1"/>
    <col min="8975" max="8975" width="12.42578125" style="76" customWidth="1"/>
    <col min="8976" max="9210" width="1.7109375" style="76"/>
    <col min="9211" max="9211" width="0.28515625" style="76" customWidth="1"/>
    <col min="9212" max="9212" width="0" style="76" hidden="1" customWidth="1"/>
    <col min="9213" max="9213" width="5" style="76" customWidth="1"/>
    <col min="9214" max="9214" width="8.5703125" style="76" customWidth="1"/>
    <col min="9215" max="9215" width="12" style="76" customWidth="1"/>
    <col min="9216" max="9216" width="11.28515625" style="76" customWidth="1"/>
    <col min="9217" max="9217" width="12.28515625" style="76" bestFit="1" customWidth="1"/>
    <col min="9218" max="9218" width="10.28515625" style="76" bestFit="1" customWidth="1"/>
    <col min="9219" max="9219" width="9" style="76" customWidth="1"/>
    <col min="9220" max="9220" width="2.42578125" style="76" customWidth="1"/>
    <col min="9221" max="9221" width="9" style="76" customWidth="1"/>
    <col min="9222" max="9222" width="11.7109375" style="76" customWidth="1"/>
    <col min="9223" max="9223" width="14" style="76" customWidth="1"/>
    <col min="9224" max="9224" width="10.7109375" style="76" customWidth="1"/>
    <col min="9225" max="9225" width="7.140625" style="76" customWidth="1"/>
    <col min="9226" max="9226" width="12" style="76" customWidth="1"/>
    <col min="9227" max="9227" width="10.85546875" style="76" customWidth="1"/>
    <col min="9228" max="9228" width="12" style="76" customWidth="1"/>
    <col min="9229" max="9229" width="7" style="76" customWidth="1"/>
    <col min="9230" max="9230" width="10.140625" style="76" customWidth="1"/>
    <col min="9231" max="9231" width="12.42578125" style="76" customWidth="1"/>
    <col min="9232" max="9466" width="1.7109375" style="76"/>
    <col min="9467" max="9467" width="0.28515625" style="76" customWidth="1"/>
    <col min="9468" max="9468" width="0" style="76" hidden="1" customWidth="1"/>
    <col min="9469" max="9469" width="5" style="76" customWidth="1"/>
    <col min="9470" max="9470" width="8.5703125" style="76" customWidth="1"/>
    <col min="9471" max="9471" width="12" style="76" customWidth="1"/>
    <col min="9472" max="9472" width="11.28515625" style="76" customWidth="1"/>
    <col min="9473" max="9473" width="12.28515625" style="76" bestFit="1" customWidth="1"/>
    <col min="9474" max="9474" width="10.28515625" style="76" bestFit="1" customWidth="1"/>
    <col min="9475" max="9475" width="9" style="76" customWidth="1"/>
    <col min="9476" max="9476" width="2.42578125" style="76" customWidth="1"/>
    <col min="9477" max="9477" width="9" style="76" customWidth="1"/>
    <col min="9478" max="9478" width="11.7109375" style="76" customWidth="1"/>
    <col min="9479" max="9479" width="14" style="76" customWidth="1"/>
    <col min="9480" max="9480" width="10.7109375" style="76" customWidth="1"/>
    <col min="9481" max="9481" width="7.140625" style="76" customWidth="1"/>
    <col min="9482" max="9482" width="12" style="76" customWidth="1"/>
    <col min="9483" max="9483" width="10.85546875" style="76" customWidth="1"/>
    <col min="9484" max="9484" width="12" style="76" customWidth="1"/>
    <col min="9485" max="9485" width="7" style="76" customWidth="1"/>
    <col min="9486" max="9486" width="10.140625" style="76" customWidth="1"/>
    <col min="9487" max="9487" width="12.42578125" style="76" customWidth="1"/>
    <col min="9488" max="9722" width="1.7109375" style="76"/>
    <col min="9723" max="9723" width="0.28515625" style="76" customWidth="1"/>
    <col min="9724" max="9724" width="0" style="76" hidden="1" customWidth="1"/>
    <col min="9725" max="9725" width="5" style="76" customWidth="1"/>
    <col min="9726" max="9726" width="8.5703125" style="76" customWidth="1"/>
    <col min="9727" max="9727" width="12" style="76" customWidth="1"/>
    <col min="9728" max="9728" width="11.28515625" style="76" customWidth="1"/>
    <col min="9729" max="9729" width="12.28515625" style="76" bestFit="1" customWidth="1"/>
    <col min="9730" max="9730" width="10.28515625" style="76" bestFit="1" customWidth="1"/>
    <col min="9731" max="9731" width="9" style="76" customWidth="1"/>
    <col min="9732" max="9732" width="2.42578125" style="76" customWidth="1"/>
    <col min="9733" max="9733" width="9" style="76" customWidth="1"/>
    <col min="9734" max="9734" width="11.7109375" style="76" customWidth="1"/>
    <col min="9735" max="9735" width="14" style="76" customWidth="1"/>
    <col min="9736" max="9736" width="10.7109375" style="76" customWidth="1"/>
    <col min="9737" max="9737" width="7.140625" style="76" customWidth="1"/>
    <col min="9738" max="9738" width="12" style="76" customWidth="1"/>
    <col min="9739" max="9739" width="10.85546875" style="76" customWidth="1"/>
    <col min="9740" max="9740" width="12" style="76" customWidth="1"/>
    <col min="9741" max="9741" width="7" style="76" customWidth="1"/>
    <col min="9742" max="9742" width="10.140625" style="76" customWidth="1"/>
    <col min="9743" max="9743" width="12.42578125" style="76" customWidth="1"/>
    <col min="9744" max="9978" width="1.7109375" style="76"/>
    <col min="9979" max="9979" width="0.28515625" style="76" customWidth="1"/>
    <col min="9980" max="9980" width="0" style="76" hidden="1" customWidth="1"/>
    <col min="9981" max="9981" width="5" style="76" customWidth="1"/>
    <col min="9982" max="9982" width="8.5703125" style="76" customWidth="1"/>
    <col min="9983" max="9983" width="12" style="76" customWidth="1"/>
    <col min="9984" max="9984" width="11.28515625" style="76" customWidth="1"/>
    <col min="9985" max="9985" width="12.28515625" style="76" bestFit="1" customWidth="1"/>
    <col min="9986" max="9986" width="10.28515625" style="76" bestFit="1" customWidth="1"/>
    <col min="9987" max="9987" width="9" style="76" customWidth="1"/>
    <col min="9988" max="9988" width="2.42578125" style="76" customWidth="1"/>
    <col min="9989" max="9989" width="9" style="76" customWidth="1"/>
    <col min="9990" max="9990" width="11.7109375" style="76" customWidth="1"/>
    <col min="9991" max="9991" width="14" style="76" customWidth="1"/>
    <col min="9992" max="9992" width="10.7109375" style="76" customWidth="1"/>
    <col min="9993" max="9993" width="7.140625" style="76" customWidth="1"/>
    <col min="9994" max="9994" width="12" style="76" customWidth="1"/>
    <col min="9995" max="9995" width="10.85546875" style="76" customWidth="1"/>
    <col min="9996" max="9996" width="12" style="76" customWidth="1"/>
    <col min="9997" max="9997" width="7" style="76" customWidth="1"/>
    <col min="9998" max="9998" width="10.140625" style="76" customWidth="1"/>
    <col min="9999" max="9999" width="12.42578125" style="76" customWidth="1"/>
    <col min="10000" max="10234" width="1.7109375" style="76"/>
    <col min="10235" max="10235" width="0.28515625" style="76" customWidth="1"/>
    <col min="10236" max="10236" width="0" style="76" hidden="1" customWidth="1"/>
    <col min="10237" max="10237" width="5" style="76" customWidth="1"/>
    <col min="10238" max="10238" width="8.5703125" style="76" customWidth="1"/>
    <col min="10239" max="10239" width="12" style="76" customWidth="1"/>
    <col min="10240" max="10240" width="11.28515625" style="76" customWidth="1"/>
    <col min="10241" max="10241" width="12.28515625" style="76" bestFit="1" customWidth="1"/>
    <col min="10242" max="10242" width="10.28515625" style="76" bestFit="1" customWidth="1"/>
    <col min="10243" max="10243" width="9" style="76" customWidth="1"/>
    <col min="10244" max="10244" width="2.42578125" style="76" customWidth="1"/>
    <col min="10245" max="10245" width="9" style="76" customWidth="1"/>
    <col min="10246" max="10246" width="11.7109375" style="76" customWidth="1"/>
    <col min="10247" max="10247" width="14" style="76" customWidth="1"/>
    <col min="10248" max="10248" width="10.7109375" style="76" customWidth="1"/>
    <col min="10249" max="10249" width="7.140625" style="76" customWidth="1"/>
    <col min="10250" max="10250" width="12" style="76" customWidth="1"/>
    <col min="10251" max="10251" width="10.85546875" style="76" customWidth="1"/>
    <col min="10252" max="10252" width="12" style="76" customWidth="1"/>
    <col min="10253" max="10253" width="7" style="76" customWidth="1"/>
    <col min="10254" max="10254" width="10.140625" style="76" customWidth="1"/>
    <col min="10255" max="10255" width="12.42578125" style="76" customWidth="1"/>
    <col min="10256" max="10490" width="1.7109375" style="76"/>
    <col min="10491" max="10491" width="0.28515625" style="76" customWidth="1"/>
    <col min="10492" max="10492" width="0" style="76" hidden="1" customWidth="1"/>
    <col min="10493" max="10493" width="5" style="76" customWidth="1"/>
    <col min="10494" max="10494" width="8.5703125" style="76" customWidth="1"/>
    <col min="10495" max="10495" width="12" style="76" customWidth="1"/>
    <col min="10496" max="10496" width="11.28515625" style="76" customWidth="1"/>
    <col min="10497" max="10497" width="12.28515625" style="76" bestFit="1" customWidth="1"/>
    <col min="10498" max="10498" width="10.28515625" style="76" bestFit="1" customWidth="1"/>
    <col min="10499" max="10499" width="9" style="76" customWidth="1"/>
    <col min="10500" max="10500" width="2.42578125" style="76" customWidth="1"/>
    <col min="10501" max="10501" width="9" style="76" customWidth="1"/>
    <col min="10502" max="10502" width="11.7109375" style="76" customWidth="1"/>
    <col min="10503" max="10503" width="14" style="76" customWidth="1"/>
    <col min="10504" max="10504" width="10.7109375" style="76" customWidth="1"/>
    <col min="10505" max="10505" width="7.140625" style="76" customWidth="1"/>
    <col min="10506" max="10506" width="12" style="76" customWidth="1"/>
    <col min="10507" max="10507" width="10.85546875" style="76" customWidth="1"/>
    <col min="10508" max="10508" width="12" style="76" customWidth="1"/>
    <col min="10509" max="10509" width="7" style="76" customWidth="1"/>
    <col min="10510" max="10510" width="10.140625" style="76" customWidth="1"/>
    <col min="10511" max="10511" width="12.42578125" style="76" customWidth="1"/>
    <col min="10512" max="10746" width="1.7109375" style="76"/>
    <col min="10747" max="10747" width="0.28515625" style="76" customWidth="1"/>
    <col min="10748" max="10748" width="0" style="76" hidden="1" customWidth="1"/>
    <col min="10749" max="10749" width="5" style="76" customWidth="1"/>
    <col min="10750" max="10750" width="8.5703125" style="76" customWidth="1"/>
    <col min="10751" max="10751" width="12" style="76" customWidth="1"/>
    <col min="10752" max="10752" width="11.28515625" style="76" customWidth="1"/>
    <col min="10753" max="10753" width="12.28515625" style="76" bestFit="1" customWidth="1"/>
    <col min="10754" max="10754" width="10.28515625" style="76" bestFit="1" customWidth="1"/>
    <col min="10755" max="10755" width="9" style="76" customWidth="1"/>
    <col min="10756" max="10756" width="2.42578125" style="76" customWidth="1"/>
    <col min="10757" max="10757" width="9" style="76" customWidth="1"/>
    <col min="10758" max="10758" width="11.7109375" style="76" customWidth="1"/>
    <col min="10759" max="10759" width="14" style="76" customWidth="1"/>
    <col min="10760" max="10760" width="10.7109375" style="76" customWidth="1"/>
    <col min="10761" max="10761" width="7.140625" style="76" customWidth="1"/>
    <col min="10762" max="10762" width="12" style="76" customWidth="1"/>
    <col min="10763" max="10763" width="10.85546875" style="76" customWidth="1"/>
    <col min="10764" max="10764" width="12" style="76" customWidth="1"/>
    <col min="10765" max="10765" width="7" style="76" customWidth="1"/>
    <col min="10766" max="10766" width="10.140625" style="76" customWidth="1"/>
    <col min="10767" max="10767" width="12.42578125" style="76" customWidth="1"/>
    <col min="10768" max="11002" width="1.7109375" style="76"/>
    <col min="11003" max="11003" width="0.28515625" style="76" customWidth="1"/>
    <col min="11004" max="11004" width="0" style="76" hidden="1" customWidth="1"/>
    <col min="11005" max="11005" width="5" style="76" customWidth="1"/>
    <col min="11006" max="11006" width="8.5703125" style="76" customWidth="1"/>
    <col min="11007" max="11007" width="12" style="76" customWidth="1"/>
    <col min="11008" max="11008" width="11.28515625" style="76" customWidth="1"/>
    <col min="11009" max="11009" width="12.28515625" style="76" bestFit="1" customWidth="1"/>
    <col min="11010" max="11010" width="10.28515625" style="76" bestFit="1" customWidth="1"/>
    <col min="11011" max="11011" width="9" style="76" customWidth="1"/>
    <col min="11012" max="11012" width="2.42578125" style="76" customWidth="1"/>
    <col min="11013" max="11013" width="9" style="76" customWidth="1"/>
    <col min="11014" max="11014" width="11.7109375" style="76" customWidth="1"/>
    <col min="11015" max="11015" width="14" style="76" customWidth="1"/>
    <col min="11016" max="11016" width="10.7109375" style="76" customWidth="1"/>
    <col min="11017" max="11017" width="7.140625" style="76" customWidth="1"/>
    <col min="11018" max="11018" width="12" style="76" customWidth="1"/>
    <col min="11019" max="11019" width="10.85546875" style="76" customWidth="1"/>
    <col min="11020" max="11020" width="12" style="76" customWidth="1"/>
    <col min="11021" max="11021" width="7" style="76" customWidth="1"/>
    <col min="11022" max="11022" width="10.140625" style="76" customWidth="1"/>
    <col min="11023" max="11023" width="12.42578125" style="76" customWidth="1"/>
    <col min="11024" max="11258" width="1.7109375" style="76"/>
    <col min="11259" max="11259" width="0.28515625" style="76" customWidth="1"/>
    <col min="11260" max="11260" width="0" style="76" hidden="1" customWidth="1"/>
    <col min="11261" max="11261" width="5" style="76" customWidth="1"/>
    <col min="11262" max="11262" width="8.5703125" style="76" customWidth="1"/>
    <col min="11263" max="11263" width="12" style="76" customWidth="1"/>
    <col min="11264" max="11264" width="11.28515625" style="76" customWidth="1"/>
    <col min="11265" max="11265" width="12.28515625" style="76" bestFit="1" customWidth="1"/>
    <col min="11266" max="11266" width="10.28515625" style="76" bestFit="1" customWidth="1"/>
    <col min="11267" max="11267" width="9" style="76" customWidth="1"/>
    <col min="11268" max="11268" width="2.42578125" style="76" customWidth="1"/>
    <col min="11269" max="11269" width="9" style="76" customWidth="1"/>
    <col min="11270" max="11270" width="11.7109375" style="76" customWidth="1"/>
    <col min="11271" max="11271" width="14" style="76" customWidth="1"/>
    <col min="11272" max="11272" width="10.7109375" style="76" customWidth="1"/>
    <col min="11273" max="11273" width="7.140625" style="76" customWidth="1"/>
    <col min="11274" max="11274" width="12" style="76" customWidth="1"/>
    <col min="11275" max="11275" width="10.85546875" style="76" customWidth="1"/>
    <col min="11276" max="11276" width="12" style="76" customWidth="1"/>
    <col min="11277" max="11277" width="7" style="76" customWidth="1"/>
    <col min="11278" max="11278" width="10.140625" style="76" customWidth="1"/>
    <col min="11279" max="11279" width="12.42578125" style="76" customWidth="1"/>
    <col min="11280" max="11514" width="1.7109375" style="76"/>
    <col min="11515" max="11515" width="0.28515625" style="76" customWidth="1"/>
    <col min="11516" max="11516" width="0" style="76" hidden="1" customWidth="1"/>
    <col min="11517" max="11517" width="5" style="76" customWidth="1"/>
    <col min="11518" max="11518" width="8.5703125" style="76" customWidth="1"/>
    <col min="11519" max="11519" width="12" style="76" customWidth="1"/>
    <col min="11520" max="11520" width="11.28515625" style="76" customWidth="1"/>
    <col min="11521" max="11521" width="12.28515625" style="76" bestFit="1" customWidth="1"/>
    <col min="11522" max="11522" width="10.28515625" style="76" bestFit="1" customWidth="1"/>
    <col min="11523" max="11523" width="9" style="76" customWidth="1"/>
    <col min="11524" max="11524" width="2.42578125" style="76" customWidth="1"/>
    <col min="11525" max="11525" width="9" style="76" customWidth="1"/>
    <col min="11526" max="11526" width="11.7109375" style="76" customWidth="1"/>
    <col min="11527" max="11527" width="14" style="76" customWidth="1"/>
    <col min="11528" max="11528" width="10.7109375" style="76" customWidth="1"/>
    <col min="11529" max="11529" width="7.140625" style="76" customWidth="1"/>
    <col min="11530" max="11530" width="12" style="76" customWidth="1"/>
    <col min="11531" max="11531" width="10.85546875" style="76" customWidth="1"/>
    <col min="11532" max="11532" width="12" style="76" customWidth="1"/>
    <col min="11533" max="11533" width="7" style="76" customWidth="1"/>
    <col min="11534" max="11534" width="10.140625" style="76" customWidth="1"/>
    <col min="11535" max="11535" width="12.42578125" style="76" customWidth="1"/>
    <col min="11536" max="11770" width="1.7109375" style="76"/>
    <col min="11771" max="11771" width="0.28515625" style="76" customWidth="1"/>
    <col min="11772" max="11772" width="0" style="76" hidden="1" customWidth="1"/>
    <col min="11773" max="11773" width="5" style="76" customWidth="1"/>
    <col min="11774" max="11774" width="8.5703125" style="76" customWidth="1"/>
    <col min="11775" max="11775" width="12" style="76" customWidth="1"/>
    <col min="11776" max="11776" width="11.28515625" style="76" customWidth="1"/>
    <col min="11777" max="11777" width="12.28515625" style="76" bestFit="1" customWidth="1"/>
    <col min="11778" max="11778" width="10.28515625" style="76" bestFit="1" customWidth="1"/>
    <col min="11779" max="11779" width="9" style="76" customWidth="1"/>
    <col min="11780" max="11780" width="2.42578125" style="76" customWidth="1"/>
    <col min="11781" max="11781" width="9" style="76" customWidth="1"/>
    <col min="11782" max="11782" width="11.7109375" style="76" customWidth="1"/>
    <col min="11783" max="11783" width="14" style="76" customWidth="1"/>
    <col min="11784" max="11784" width="10.7109375" style="76" customWidth="1"/>
    <col min="11785" max="11785" width="7.140625" style="76" customWidth="1"/>
    <col min="11786" max="11786" width="12" style="76" customWidth="1"/>
    <col min="11787" max="11787" width="10.85546875" style="76" customWidth="1"/>
    <col min="11788" max="11788" width="12" style="76" customWidth="1"/>
    <col min="11789" max="11789" width="7" style="76" customWidth="1"/>
    <col min="11790" max="11790" width="10.140625" style="76" customWidth="1"/>
    <col min="11791" max="11791" width="12.42578125" style="76" customWidth="1"/>
    <col min="11792" max="12026" width="1.7109375" style="76"/>
    <col min="12027" max="12027" width="0.28515625" style="76" customWidth="1"/>
    <col min="12028" max="12028" width="0" style="76" hidden="1" customWidth="1"/>
    <col min="12029" max="12029" width="5" style="76" customWidth="1"/>
    <col min="12030" max="12030" width="8.5703125" style="76" customWidth="1"/>
    <col min="12031" max="12031" width="12" style="76" customWidth="1"/>
    <col min="12032" max="12032" width="11.28515625" style="76" customWidth="1"/>
    <col min="12033" max="12033" width="12.28515625" style="76" bestFit="1" customWidth="1"/>
    <col min="12034" max="12034" width="10.28515625" style="76" bestFit="1" customWidth="1"/>
    <col min="12035" max="12035" width="9" style="76" customWidth="1"/>
    <col min="12036" max="12036" width="2.42578125" style="76" customWidth="1"/>
    <col min="12037" max="12037" width="9" style="76" customWidth="1"/>
    <col min="12038" max="12038" width="11.7109375" style="76" customWidth="1"/>
    <col min="12039" max="12039" width="14" style="76" customWidth="1"/>
    <col min="12040" max="12040" width="10.7109375" style="76" customWidth="1"/>
    <col min="12041" max="12041" width="7.140625" style="76" customWidth="1"/>
    <col min="12042" max="12042" width="12" style="76" customWidth="1"/>
    <col min="12043" max="12043" width="10.85546875" style="76" customWidth="1"/>
    <col min="12044" max="12044" width="12" style="76" customWidth="1"/>
    <col min="12045" max="12045" width="7" style="76" customWidth="1"/>
    <col min="12046" max="12046" width="10.140625" style="76" customWidth="1"/>
    <col min="12047" max="12047" width="12.42578125" style="76" customWidth="1"/>
    <col min="12048" max="12282" width="1.7109375" style="76"/>
    <col min="12283" max="12283" width="0.28515625" style="76" customWidth="1"/>
    <col min="12284" max="12284" width="0" style="76" hidden="1" customWidth="1"/>
    <col min="12285" max="12285" width="5" style="76" customWidth="1"/>
    <col min="12286" max="12286" width="8.5703125" style="76" customWidth="1"/>
    <col min="12287" max="12287" width="12" style="76" customWidth="1"/>
    <col min="12288" max="12288" width="11.28515625" style="76" customWidth="1"/>
    <col min="12289" max="12289" width="12.28515625" style="76" bestFit="1" customWidth="1"/>
    <col min="12290" max="12290" width="10.28515625" style="76" bestFit="1" customWidth="1"/>
    <col min="12291" max="12291" width="9" style="76" customWidth="1"/>
    <col min="12292" max="12292" width="2.42578125" style="76" customWidth="1"/>
    <col min="12293" max="12293" width="9" style="76" customWidth="1"/>
    <col min="12294" max="12294" width="11.7109375" style="76" customWidth="1"/>
    <col min="12295" max="12295" width="14" style="76" customWidth="1"/>
    <col min="12296" max="12296" width="10.7109375" style="76" customWidth="1"/>
    <col min="12297" max="12297" width="7.140625" style="76" customWidth="1"/>
    <col min="12298" max="12298" width="12" style="76" customWidth="1"/>
    <col min="12299" max="12299" width="10.85546875" style="76" customWidth="1"/>
    <col min="12300" max="12300" width="12" style="76" customWidth="1"/>
    <col min="12301" max="12301" width="7" style="76" customWidth="1"/>
    <col min="12302" max="12302" width="10.140625" style="76" customWidth="1"/>
    <col min="12303" max="12303" width="12.42578125" style="76" customWidth="1"/>
    <col min="12304" max="12538" width="1.7109375" style="76"/>
    <col min="12539" max="12539" width="0.28515625" style="76" customWidth="1"/>
    <col min="12540" max="12540" width="0" style="76" hidden="1" customWidth="1"/>
    <col min="12541" max="12541" width="5" style="76" customWidth="1"/>
    <col min="12542" max="12542" width="8.5703125" style="76" customWidth="1"/>
    <col min="12543" max="12543" width="12" style="76" customWidth="1"/>
    <col min="12544" max="12544" width="11.28515625" style="76" customWidth="1"/>
    <col min="12545" max="12545" width="12.28515625" style="76" bestFit="1" customWidth="1"/>
    <col min="12546" max="12546" width="10.28515625" style="76" bestFit="1" customWidth="1"/>
    <col min="12547" max="12547" width="9" style="76" customWidth="1"/>
    <col min="12548" max="12548" width="2.42578125" style="76" customWidth="1"/>
    <col min="12549" max="12549" width="9" style="76" customWidth="1"/>
    <col min="12550" max="12550" width="11.7109375" style="76" customWidth="1"/>
    <col min="12551" max="12551" width="14" style="76" customWidth="1"/>
    <col min="12552" max="12552" width="10.7109375" style="76" customWidth="1"/>
    <col min="12553" max="12553" width="7.140625" style="76" customWidth="1"/>
    <col min="12554" max="12554" width="12" style="76" customWidth="1"/>
    <col min="12555" max="12555" width="10.85546875" style="76" customWidth="1"/>
    <col min="12556" max="12556" width="12" style="76" customWidth="1"/>
    <col min="12557" max="12557" width="7" style="76" customWidth="1"/>
    <col min="12558" max="12558" width="10.140625" style="76" customWidth="1"/>
    <col min="12559" max="12559" width="12.42578125" style="76" customWidth="1"/>
    <col min="12560" max="12794" width="1.7109375" style="76"/>
    <col min="12795" max="12795" width="0.28515625" style="76" customWidth="1"/>
    <col min="12796" max="12796" width="0" style="76" hidden="1" customWidth="1"/>
    <col min="12797" max="12797" width="5" style="76" customWidth="1"/>
    <col min="12798" max="12798" width="8.5703125" style="76" customWidth="1"/>
    <col min="12799" max="12799" width="12" style="76" customWidth="1"/>
    <col min="12800" max="12800" width="11.28515625" style="76" customWidth="1"/>
    <col min="12801" max="12801" width="12.28515625" style="76" bestFit="1" customWidth="1"/>
    <col min="12802" max="12802" width="10.28515625" style="76" bestFit="1" customWidth="1"/>
    <col min="12803" max="12803" width="9" style="76" customWidth="1"/>
    <col min="12804" max="12804" width="2.42578125" style="76" customWidth="1"/>
    <col min="12805" max="12805" width="9" style="76" customWidth="1"/>
    <col min="12806" max="12806" width="11.7109375" style="76" customWidth="1"/>
    <col min="12807" max="12807" width="14" style="76" customWidth="1"/>
    <col min="12808" max="12808" width="10.7109375" style="76" customWidth="1"/>
    <col min="12809" max="12809" width="7.140625" style="76" customWidth="1"/>
    <col min="12810" max="12810" width="12" style="76" customWidth="1"/>
    <col min="12811" max="12811" width="10.85546875" style="76" customWidth="1"/>
    <col min="12812" max="12812" width="12" style="76" customWidth="1"/>
    <col min="12813" max="12813" width="7" style="76" customWidth="1"/>
    <col min="12814" max="12814" width="10.140625" style="76" customWidth="1"/>
    <col min="12815" max="12815" width="12.42578125" style="76" customWidth="1"/>
    <col min="12816" max="13050" width="1.7109375" style="76"/>
    <col min="13051" max="13051" width="0.28515625" style="76" customWidth="1"/>
    <col min="13052" max="13052" width="0" style="76" hidden="1" customWidth="1"/>
    <col min="13053" max="13053" width="5" style="76" customWidth="1"/>
    <col min="13054" max="13054" width="8.5703125" style="76" customWidth="1"/>
    <col min="13055" max="13055" width="12" style="76" customWidth="1"/>
    <col min="13056" max="13056" width="11.28515625" style="76" customWidth="1"/>
    <col min="13057" max="13057" width="12.28515625" style="76" bestFit="1" customWidth="1"/>
    <col min="13058" max="13058" width="10.28515625" style="76" bestFit="1" customWidth="1"/>
    <col min="13059" max="13059" width="9" style="76" customWidth="1"/>
    <col min="13060" max="13060" width="2.42578125" style="76" customWidth="1"/>
    <col min="13061" max="13061" width="9" style="76" customWidth="1"/>
    <col min="13062" max="13062" width="11.7109375" style="76" customWidth="1"/>
    <col min="13063" max="13063" width="14" style="76" customWidth="1"/>
    <col min="13064" max="13064" width="10.7109375" style="76" customWidth="1"/>
    <col min="13065" max="13065" width="7.140625" style="76" customWidth="1"/>
    <col min="13066" max="13066" width="12" style="76" customWidth="1"/>
    <col min="13067" max="13067" width="10.85546875" style="76" customWidth="1"/>
    <col min="13068" max="13068" width="12" style="76" customWidth="1"/>
    <col min="13069" max="13069" width="7" style="76" customWidth="1"/>
    <col min="13070" max="13070" width="10.140625" style="76" customWidth="1"/>
    <col min="13071" max="13071" width="12.42578125" style="76" customWidth="1"/>
    <col min="13072" max="13306" width="1.7109375" style="76"/>
    <col min="13307" max="13307" width="0.28515625" style="76" customWidth="1"/>
    <col min="13308" max="13308" width="0" style="76" hidden="1" customWidth="1"/>
    <col min="13309" max="13309" width="5" style="76" customWidth="1"/>
    <col min="13310" max="13310" width="8.5703125" style="76" customWidth="1"/>
    <col min="13311" max="13311" width="12" style="76" customWidth="1"/>
    <col min="13312" max="13312" width="11.28515625" style="76" customWidth="1"/>
    <col min="13313" max="13313" width="12.28515625" style="76" bestFit="1" customWidth="1"/>
    <col min="13314" max="13314" width="10.28515625" style="76" bestFit="1" customWidth="1"/>
    <col min="13315" max="13315" width="9" style="76" customWidth="1"/>
    <col min="13316" max="13316" width="2.42578125" style="76" customWidth="1"/>
    <col min="13317" max="13317" width="9" style="76" customWidth="1"/>
    <col min="13318" max="13318" width="11.7109375" style="76" customWidth="1"/>
    <col min="13319" max="13319" width="14" style="76" customWidth="1"/>
    <col min="13320" max="13320" width="10.7109375" style="76" customWidth="1"/>
    <col min="13321" max="13321" width="7.140625" style="76" customWidth="1"/>
    <col min="13322" max="13322" width="12" style="76" customWidth="1"/>
    <col min="13323" max="13323" width="10.85546875" style="76" customWidth="1"/>
    <col min="13324" max="13324" width="12" style="76" customWidth="1"/>
    <col min="13325" max="13325" width="7" style="76" customWidth="1"/>
    <col min="13326" max="13326" width="10.140625" style="76" customWidth="1"/>
    <col min="13327" max="13327" width="12.42578125" style="76" customWidth="1"/>
    <col min="13328" max="13562" width="1.7109375" style="76"/>
    <col min="13563" max="13563" width="0.28515625" style="76" customWidth="1"/>
    <col min="13564" max="13564" width="0" style="76" hidden="1" customWidth="1"/>
    <col min="13565" max="13565" width="5" style="76" customWidth="1"/>
    <col min="13566" max="13566" width="8.5703125" style="76" customWidth="1"/>
    <col min="13567" max="13567" width="12" style="76" customWidth="1"/>
    <col min="13568" max="13568" width="11.28515625" style="76" customWidth="1"/>
    <col min="13569" max="13569" width="12.28515625" style="76" bestFit="1" customWidth="1"/>
    <col min="13570" max="13570" width="10.28515625" style="76" bestFit="1" customWidth="1"/>
    <col min="13571" max="13571" width="9" style="76" customWidth="1"/>
    <col min="13572" max="13572" width="2.42578125" style="76" customWidth="1"/>
    <col min="13573" max="13573" width="9" style="76" customWidth="1"/>
    <col min="13574" max="13574" width="11.7109375" style="76" customWidth="1"/>
    <col min="13575" max="13575" width="14" style="76" customWidth="1"/>
    <col min="13576" max="13576" width="10.7109375" style="76" customWidth="1"/>
    <col min="13577" max="13577" width="7.140625" style="76" customWidth="1"/>
    <col min="13578" max="13578" width="12" style="76" customWidth="1"/>
    <col min="13579" max="13579" width="10.85546875" style="76" customWidth="1"/>
    <col min="13580" max="13580" width="12" style="76" customWidth="1"/>
    <col min="13581" max="13581" width="7" style="76" customWidth="1"/>
    <col min="13582" max="13582" width="10.140625" style="76" customWidth="1"/>
    <col min="13583" max="13583" width="12.42578125" style="76" customWidth="1"/>
    <col min="13584" max="13818" width="1.7109375" style="76"/>
    <col min="13819" max="13819" width="0.28515625" style="76" customWidth="1"/>
    <col min="13820" max="13820" width="0" style="76" hidden="1" customWidth="1"/>
    <col min="13821" max="13821" width="5" style="76" customWidth="1"/>
    <col min="13822" max="13822" width="8.5703125" style="76" customWidth="1"/>
    <col min="13823" max="13823" width="12" style="76" customWidth="1"/>
    <col min="13824" max="13824" width="11.28515625" style="76" customWidth="1"/>
    <col min="13825" max="13825" width="12.28515625" style="76" bestFit="1" customWidth="1"/>
    <col min="13826" max="13826" width="10.28515625" style="76" bestFit="1" customWidth="1"/>
    <col min="13827" max="13827" width="9" style="76" customWidth="1"/>
    <col min="13828" max="13828" width="2.42578125" style="76" customWidth="1"/>
    <col min="13829" max="13829" width="9" style="76" customWidth="1"/>
    <col min="13830" max="13830" width="11.7109375" style="76" customWidth="1"/>
    <col min="13831" max="13831" width="14" style="76" customWidth="1"/>
    <col min="13832" max="13832" width="10.7109375" style="76" customWidth="1"/>
    <col min="13833" max="13833" width="7.140625" style="76" customWidth="1"/>
    <col min="13834" max="13834" width="12" style="76" customWidth="1"/>
    <col min="13835" max="13835" width="10.85546875" style="76" customWidth="1"/>
    <col min="13836" max="13836" width="12" style="76" customWidth="1"/>
    <col min="13837" max="13837" width="7" style="76" customWidth="1"/>
    <col min="13838" max="13838" width="10.140625" style="76" customWidth="1"/>
    <col min="13839" max="13839" width="12.42578125" style="76" customWidth="1"/>
    <col min="13840" max="14074" width="1.7109375" style="76"/>
    <col min="14075" max="14075" width="0.28515625" style="76" customWidth="1"/>
    <col min="14076" max="14076" width="0" style="76" hidden="1" customWidth="1"/>
    <col min="14077" max="14077" width="5" style="76" customWidth="1"/>
    <col min="14078" max="14078" width="8.5703125" style="76" customWidth="1"/>
    <col min="14079" max="14079" width="12" style="76" customWidth="1"/>
    <col min="14080" max="14080" width="11.28515625" style="76" customWidth="1"/>
    <col min="14081" max="14081" width="12.28515625" style="76" bestFit="1" customWidth="1"/>
    <col min="14082" max="14082" width="10.28515625" style="76" bestFit="1" customWidth="1"/>
    <col min="14083" max="14083" width="9" style="76" customWidth="1"/>
    <col min="14084" max="14084" width="2.42578125" style="76" customWidth="1"/>
    <col min="14085" max="14085" width="9" style="76" customWidth="1"/>
    <col min="14086" max="14086" width="11.7109375" style="76" customWidth="1"/>
    <col min="14087" max="14087" width="14" style="76" customWidth="1"/>
    <col min="14088" max="14088" width="10.7109375" style="76" customWidth="1"/>
    <col min="14089" max="14089" width="7.140625" style="76" customWidth="1"/>
    <col min="14090" max="14090" width="12" style="76" customWidth="1"/>
    <col min="14091" max="14091" width="10.85546875" style="76" customWidth="1"/>
    <col min="14092" max="14092" width="12" style="76" customWidth="1"/>
    <col min="14093" max="14093" width="7" style="76" customWidth="1"/>
    <col min="14094" max="14094" width="10.140625" style="76" customWidth="1"/>
    <col min="14095" max="14095" width="12.42578125" style="76" customWidth="1"/>
    <col min="14096" max="14330" width="1.7109375" style="76"/>
    <col min="14331" max="14331" width="0.28515625" style="76" customWidth="1"/>
    <col min="14332" max="14332" width="0" style="76" hidden="1" customWidth="1"/>
    <col min="14333" max="14333" width="5" style="76" customWidth="1"/>
    <col min="14334" max="14334" width="8.5703125" style="76" customWidth="1"/>
    <col min="14335" max="14335" width="12" style="76" customWidth="1"/>
    <col min="14336" max="14336" width="11.28515625" style="76" customWidth="1"/>
    <col min="14337" max="14337" width="12.28515625" style="76" bestFit="1" customWidth="1"/>
    <col min="14338" max="14338" width="10.28515625" style="76" bestFit="1" customWidth="1"/>
    <col min="14339" max="14339" width="9" style="76" customWidth="1"/>
    <col min="14340" max="14340" width="2.42578125" style="76" customWidth="1"/>
    <col min="14341" max="14341" width="9" style="76" customWidth="1"/>
    <col min="14342" max="14342" width="11.7109375" style="76" customWidth="1"/>
    <col min="14343" max="14343" width="14" style="76" customWidth="1"/>
    <col min="14344" max="14344" width="10.7109375" style="76" customWidth="1"/>
    <col min="14345" max="14345" width="7.140625" style="76" customWidth="1"/>
    <col min="14346" max="14346" width="12" style="76" customWidth="1"/>
    <col min="14347" max="14347" width="10.85546875" style="76" customWidth="1"/>
    <col min="14348" max="14348" width="12" style="76" customWidth="1"/>
    <col min="14349" max="14349" width="7" style="76" customWidth="1"/>
    <col min="14350" max="14350" width="10.140625" style="76" customWidth="1"/>
    <col min="14351" max="14351" width="12.42578125" style="76" customWidth="1"/>
    <col min="14352" max="14586" width="1.7109375" style="76"/>
    <col min="14587" max="14587" width="0.28515625" style="76" customWidth="1"/>
    <col min="14588" max="14588" width="0" style="76" hidden="1" customWidth="1"/>
    <col min="14589" max="14589" width="5" style="76" customWidth="1"/>
    <col min="14590" max="14590" width="8.5703125" style="76" customWidth="1"/>
    <col min="14591" max="14591" width="12" style="76" customWidth="1"/>
    <col min="14592" max="14592" width="11.28515625" style="76" customWidth="1"/>
    <col min="14593" max="14593" width="12.28515625" style="76" bestFit="1" customWidth="1"/>
    <col min="14594" max="14594" width="10.28515625" style="76" bestFit="1" customWidth="1"/>
    <col min="14595" max="14595" width="9" style="76" customWidth="1"/>
    <col min="14596" max="14596" width="2.42578125" style="76" customWidth="1"/>
    <col min="14597" max="14597" width="9" style="76" customWidth="1"/>
    <col min="14598" max="14598" width="11.7109375" style="76" customWidth="1"/>
    <col min="14599" max="14599" width="14" style="76" customWidth="1"/>
    <col min="14600" max="14600" width="10.7109375" style="76" customWidth="1"/>
    <col min="14601" max="14601" width="7.140625" style="76" customWidth="1"/>
    <col min="14602" max="14602" width="12" style="76" customWidth="1"/>
    <col min="14603" max="14603" width="10.85546875" style="76" customWidth="1"/>
    <col min="14604" max="14604" width="12" style="76" customWidth="1"/>
    <col min="14605" max="14605" width="7" style="76" customWidth="1"/>
    <col min="14606" max="14606" width="10.140625" style="76" customWidth="1"/>
    <col min="14607" max="14607" width="12.42578125" style="76" customWidth="1"/>
    <col min="14608" max="14842" width="1.7109375" style="76"/>
    <col min="14843" max="14843" width="0.28515625" style="76" customWidth="1"/>
    <col min="14844" max="14844" width="0" style="76" hidden="1" customWidth="1"/>
    <col min="14845" max="14845" width="5" style="76" customWidth="1"/>
    <col min="14846" max="14846" width="8.5703125" style="76" customWidth="1"/>
    <col min="14847" max="14847" width="12" style="76" customWidth="1"/>
    <col min="14848" max="14848" width="11.28515625" style="76" customWidth="1"/>
    <col min="14849" max="14849" width="12.28515625" style="76" bestFit="1" customWidth="1"/>
    <col min="14850" max="14850" width="10.28515625" style="76" bestFit="1" customWidth="1"/>
    <col min="14851" max="14851" width="9" style="76" customWidth="1"/>
    <col min="14852" max="14852" width="2.42578125" style="76" customWidth="1"/>
    <col min="14853" max="14853" width="9" style="76" customWidth="1"/>
    <col min="14854" max="14854" width="11.7109375" style="76" customWidth="1"/>
    <col min="14855" max="14855" width="14" style="76" customWidth="1"/>
    <col min="14856" max="14856" width="10.7109375" style="76" customWidth="1"/>
    <col min="14857" max="14857" width="7.140625" style="76" customWidth="1"/>
    <col min="14858" max="14858" width="12" style="76" customWidth="1"/>
    <col min="14859" max="14859" width="10.85546875" style="76" customWidth="1"/>
    <col min="14860" max="14860" width="12" style="76" customWidth="1"/>
    <col min="14861" max="14861" width="7" style="76" customWidth="1"/>
    <col min="14862" max="14862" width="10.140625" style="76" customWidth="1"/>
    <col min="14863" max="14863" width="12.42578125" style="76" customWidth="1"/>
    <col min="14864" max="15098" width="1.7109375" style="76"/>
    <col min="15099" max="15099" width="0.28515625" style="76" customWidth="1"/>
    <col min="15100" max="15100" width="0" style="76" hidden="1" customWidth="1"/>
    <col min="15101" max="15101" width="5" style="76" customWidth="1"/>
    <col min="15102" max="15102" width="8.5703125" style="76" customWidth="1"/>
    <col min="15103" max="15103" width="12" style="76" customWidth="1"/>
    <col min="15104" max="15104" width="11.28515625" style="76" customWidth="1"/>
    <col min="15105" max="15105" width="12.28515625" style="76" bestFit="1" customWidth="1"/>
    <col min="15106" max="15106" width="10.28515625" style="76" bestFit="1" customWidth="1"/>
    <col min="15107" max="15107" width="9" style="76" customWidth="1"/>
    <col min="15108" max="15108" width="2.42578125" style="76" customWidth="1"/>
    <col min="15109" max="15109" width="9" style="76" customWidth="1"/>
    <col min="15110" max="15110" width="11.7109375" style="76" customWidth="1"/>
    <col min="15111" max="15111" width="14" style="76" customWidth="1"/>
    <col min="15112" max="15112" width="10.7109375" style="76" customWidth="1"/>
    <col min="15113" max="15113" width="7.140625" style="76" customWidth="1"/>
    <col min="15114" max="15114" width="12" style="76" customWidth="1"/>
    <col min="15115" max="15115" width="10.85546875" style="76" customWidth="1"/>
    <col min="15116" max="15116" width="12" style="76" customWidth="1"/>
    <col min="15117" max="15117" width="7" style="76" customWidth="1"/>
    <col min="15118" max="15118" width="10.140625" style="76" customWidth="1"/>
    <col min="15119" max="15119" width="12.42578125" style="76" customWidth="1"/>
    <col min="15120" max="15354" width="1.7109375" style="76"/>
    <col min="15355" max="15355" width="0.28515625" style="76" customWidth="1"/>
    <col min="15356" max="15356" width="0" style="76" hidden="1" customWidth="1"/>
    <col min="15357" max="15357" width="5" style="76" customWidth="1"/>
    <col min="15358" max="15358" width="8.5703125" style="76" customWidth="1"/>
    <col min="15359" max="15359" width="12" style="76" customWidth="1"/>
    <col min="15360" max="15360" width="11.28515625" style="76" customWidth="1"/>
    <col min="15361" max="15361" width="12.28515625" style="76" bestFit="1" customWidth="1"/>
    <col min="15362" max="15362" width="10.28515625" style="76" bestFit="1" customWidth="1"/>
    <col min="15363" max="15363" width="9" style="76" customWidth="1"/>
    <col min="15364" max="15364" width="2.42578125" style="76" customWidth="1"/>
    <col min="15365" max="15365" width="9" style="76" customWidth="1"/>
    <col min="15366" max="15366" width="11.7109375" style="76" customWidth="1"/>
    <col min="15367" max="15367" width="14" style="76" customWidth="1"/>
    <col min="15368" max="15368" width="10.7109375" style="76" customWidth="1"/>
    <col min="15369" max="15369" width="7.140625" style="76" customWidth="1"/>
    <col min="15370" max="15370" width="12" style="76" customWidth="1"/>
    <col min="15371" max="15371" width="10.85546875" style="76" customWidth="1"/>
    <col min="15372" max="15372" width="12" style="76" customWidth="1"/>
    <col min="15373" max="15373" width="7" style="76" customWidth="1"/>
    <col min="15374" max="15374" width="10.140625" style="76" customWidth="1"/>
    <col min="15375" max="15375" width="12.42578125" style="76" customWidth="1"/>
    <col min="15376" max="15610" width="1.7109375" style="76"/>
    <col min="15611" max="15611" width="0.28515625" style="76" customWidth="1"/>
    <col min="15612" max="15612" width="0" style="76" hidden="1" customWidth="1"/>
    <col min="15613" max="15613" width="5" style="76" customWidth="1"/>
    <col min="15614" max="15614" width="8.5703125" style="76" customWidth="1"/>
    <col min="15615" max="15615" width="12" style="76" customWidth="1"/>
    <col min="15616" max="15616" width="11.28515625" style="76" customWidth="1"/>
    <col min="15617" max="15617" width="12.28515625" style="76" bestFit="1" customWidth="1"/>
    <col min="15618" max="15618" width="10.28515625" style="76" bestFit="1" customWidth="1"/>
    <col min="15619" max="15619" width="9" style="76" customWidth="1"/>
    <col min="15620" max="15620" width="2.42578125" style="76" customWidth="1"/>
    <col min="15621" max="15621" width="9" style="76" customWidth="1"/>
    <col min="15622" max="15622" width="11.7109375" style="76" customWidth="1"/>
    <col min="15623" max="15623" width="14" style="76" customWidth="1"/>
    <col min="15624" max="15624" width="10.7109375" style="76" customWidth="1"/>
    <col min="15625" max="15625" width="7.140625" style="76" customWidth="1"/>
    <col min="15626" max="15626" width="12" style="76" customWidth="1"/>
    <col min="15627" max="15627" width="10.85546875" style="76" customWidth="1"/>
    <col min="15628" max="15628" width="12" style="76" customWidth="1"/>
    <col min="15629" max="15629" width="7" style="76" customWidth="1"/>
    <col min="15630" max="15630" width="10.140625" style="76" customWidth="1"/>
    <col min="15631" max="15631" width="12.42578125" style="76" customWidth="1"/>
    <col min="15632" max="15866" width="1.7109375" style="76"/>
    <col min="15867" max="15867" width="0.28515625" style="76" customWidth="1"/>
    <col min="15868" max="15868" width="0" style="76" hidden="1" customWidth="1"/>
    <col min="15869" max="15869" width="5" style="76" customWidth="1"/>
    <col min="15870" max="15870" width="8.5703125" style="76" customWidth="1"/>
    <col min="15871" max="15871" width="12" style="76" customWidth="1"/>
    <col min="15872" max="15872" width="11.28515625" style="76" customWidth="1"/>
    <col min="15873" max="15873" width="12.28515625" style="76" bestFit="1" customWidth="1"/>
    <col min="15874" max="15874" width="10.28515625" style="76" bestFit="1" customWidth="1"/>
    <col min="15875" max="15875" width="9" style="76" customWidth="1"/>
    <col min="15876" max="15876" width="2.42578125" style="76" customWidth="1"/>
    <col min="15877" max="15877" width="9" style="76" customWidth="1"/>
    <col min="15878" max="15878" width="11.7109375" style="76" customWidth="1"/>
    <col min="15879" max="15879" width="14" style="76" customWidth="1"/>
    <col min="15880" max="15880" width="10.7109375" style="76" customWidth="1"/>
    <col min="15881" max="15881" width="7.140625" style="76" customWidth="1"/>
    <col min="15882" max="15882" width="12" style="76" customWidth="1"/>
    <col min="15883" max="15883" width="10.85546875" style="76" customWidth="1"/>
    <col min="15884" max="15884" width="12" style="76" customWidth="1"/>
    <col min="15885" max="15885" width="7" style="76" customWidth="1"/>
    <col min="15886" max="15886" width="10.140625" style="76" customWidth="1"/>
    <col min="15887" max="15887" width="12.42578125" style="76" customWidth="1"/>
    <col min="15888" max="16122" width="1.7109375" style="76"/>
    <col min="16123" max="16123" width="0.28515625" style="76" customWidth="1"/>
    <col min="16124" max="16124" width="0" style="76" hidden="1" customWidth="1"/>
    <col min="16125" max="16125" width="5" style="76" customWidth="1"/>
    <col min="16126" max="16126" width="8.5703125" style="76" customWidth="1"/>
    <col min="16127" max="16127" width="12" style="76" customWidth="1"/>
    <col min="16128" max="16128" width="11.28515625" style="76" customWidth="1"/>
    <col min="16129" max="16129" width="12.28515625" style="76" bestFit="1" customWidth="1"/>
    <col min="16130" max="16130" width="10.28515625" style="76" bestFit="1" customWidth="1"/>
    <col min="16131" max="16131" width="9" style="76" customWidth="1"/>
    <col min="16132" max="16132" width="2.42578125" style="76" customWidth="1"/>
    <col min="16133" max="16133" width="9" style="76" customWidth="1"/>
    <col min="16134" max="16134" width="11.7109375" style="76" customWidth="1"/>
    <col min="16135" max="16135" width="14" style="76" customWidth="1"/>
    <col min="16136" max="16136" width="10.7109375" style="76" customWidth="1"/>
    <col min="16137" max="16137" width="7.140625" style="76" customWidth="1"/>
    <col min="16138" max="16138" width="12" style="76" customWidth="1"/>
    <col min="16139" max="16139" width="10.85546875" style="76" customWidth="1"/>
    <col min="16140" max="16140" width="12" style="76" customWidth="1"/>
    <col min="16141" max="16141" width="7" style="76" customWidth="1"/>
    <col min="16142" max="16142" width="10.140625" style="76" customWidth="1"/>
    <col min="16143" max="16143" width="12.42578125" style="76" customWidth="1"/>
    <col min="16144" max="16384" width="1.7109375" style="76"/>
  </cols>
  <sheetData>
    <row r="1" spans="1:22" ht="26.25" x14ac:dyDescent="0.25">
      <c r="A1" s="70"/>
      <c r="B1" s="71"/>
      <c r="C1" s="71" t="s">
        <v>0</v>
      </c>
      <c r="D1" s="71"/>
      <c r="E1" s="137"/>
      <c r="F1" s="72"/>
      <c r="G1" s="72">
        <v>2022</v>
      </c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3"/>
    </row>
    <row r="2" spans="1:22" ht="25.5" x14ac:dyDescent="0.25">
      <c r="A2" s="339"/>
      <c r="B2" s="343" t="s">
        <v>1</v>
      </c>
      <c r="C2" s="344" t="s">
        <v>2</v>
      </c>
      <c r="D2" s="344"/>
      <c r="E2" s="345" t="s">
        <v>3</v>
      </c>
      <c r="F2" s="343" t="s">
        <v>4</v>
      </c>
      <c r="G2" s="343" t="s">
        <v>5</v>
      </c>
      <c r="H2" s="343" t="s">
        <v>113</v>
      </c>
      <c r="I2" s="344" t="s">
        <v>7</v>
      </c>
      <c r="J2" s="344" t="s">
        <v>8</v>
      </c>
      <c r="K2" s="344" t="s">
        <v>9</v>
      </c>
      <c r="L2" s="344" t="s">
        <v>10</v>
      </c>
      <c r="M2" s="344" t="s">
        <v>56</v>
      </c>
      <c r="N2" s="344" t="s">
        <v>57</v>
      </c>
      <c r="O2" s="344" t="s">
        <v>11</v>
      </c>
      <c r="P2" s="344" t="s">
        <v>12</v>
      </c>
      <c r="Q2" s="343" t="s">
        <v>13</v>
      </c>
      <c r="R2" s="346" t="s">
        <v>14</v>
      </c>
      <c r="S2" s="343" t="s">
        <v>15</v>
      </c>
      <c r="T2" s="344" t="s">
        <v>16</v>
      </c>
      <c r="U2" s="346" t="s">
        <v>17</v>
      </c>
      <c r="V2" s="347" t="s">
        <v>18</v>
      </c>
    </row>
    <row r="3" spans="1:22" x14ac:dyDescent="0.25">
      <c r="A3" s="349" t="s">
        <v>40</v>
      </c>
      <c r="B3" s="348"/>
      <c r="C3" s="348"/>
      <c r="D3" s="348"/>
      <c r="E3" s="349"/>
      <c r="F3" s="339"/>
      <c r="G3" s="339"/>
      <c r="H3" s="339"/>
      <c r="I3" s="348"/>
      <c r="J3" s="348"/>
      <c r="K3" s="348"/>
      <c r="L3" s="348"/>
      <c r="M3" s="348"/>
      <c r="N3" s="348"/>
      <c r="O3" s="348"/>
      <c r="P3" s="348"/>
      <c r="Q3" s="9">
        <v>0.26679999999999998</v>
      </c>
      <c r="R3" s="9">
        <v>5.0000000000000001E-3</v>
      </c>
      <c r="S3" s="9"/>
      <c r="T3" s="77"/>
      <c r="U3" s="9">
        <v>8.5000000000000006E-2</v>
      </c>
      <c r="V3" s="339"/>
    </row>
    <row r="4" spans="1:22" x14ac:dyDescent="0.25">
      <c r="A4" s="339"/>
      <c r="B4" s="348"/>
      <c r="C4" s="348"/>
      <c r="D4" s="348"/>
      <c r="E4" s="350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48"/>
      <c r="Q4" s="351"/>
      <c r="R4" s="352">
        <v>2.5999999999999999E-2</v>
      </c>
      <c r="S4" s="351"/>
      <c r="T4" s="348"/>
      <c r="U4" s="351"/>
      <c r="V4" s="339"/>
    </row>
    <row r="5" spans="1:22" ht="30" x14ac:dyDescent="0.25">
      <c r="A5" s="339"/>
      <c r="B5" s="339"/>
      <c r="C5" s="339" t="s">
        <v>77</v>
      </c>
      <c r="D5" s="341" t="s">
        <v>98</v>
      </c>
      <c r="E5" s="342"/>
      <c r="F5" s="339"/>
      <c r="G5" s="339"/>
      <c r="H5" s="340"/>
      <c r="I5" s="340"/>
      <c r="J5" s="340"/>
      <c r="K5" s="339"/>
      <c r="L5" s="339"/>
      <c r="M5" s="339"/>
      <c r="N5" s="339"/>
      <c r="O5" s="340"/>
      <c r="P5" s="340"/>
      <c r="Q5" s="340"/>
      <c r="R5" s="340"/>
      <c r="S5" s="340"/>
      <c r="T5" s="340"/>
      <c r="U5" s="340"/>
      <c r="V5" s="340"/>
    </row>
    <row r="6" spans="1:22" ht="15.75" thickBot="1" x14ac:dyDescent="0.3">
      <c r="A6" s="338">
        <f>VLOOKUP($B6,'Compensi annuali categorie'!$B$4:$C$20,2,TRUE)</f>
        <v>22135.47</v>
      </c>
      <c r="B6" s="46" t="s">
        <v>19</v>
      </c>
      <c r="C6" s="162">
        <f>36/36</f>
        <v>1</v>
      </c>
      <c r="D6" s="162">
        <v>1</v>
      </c>
      <c r="E6" s="223">
        <f>A6*C6*D6</f>
        <v>22135.47</v>
      </c>
      <c r="F6" s="80">
        <f>VLOOKUP($B6,'Compensi annuali categorie'!$B$4:$H$20,7,TRUE)*C6*(12*D6)</f>
        <v>622.80000000000007</v>
      </c>
      <c r="G6" s="80">
        <f>VLOOKUP($B6,'Compensi annuali categorie'!$B$4:$H$20,4,TRUE)*C6*(12*D6)</f>
        <v>228</v>
      </c>
      <c r="H6" s="204">
        <v>4550</v>
      </c>
      <c r="I6" s="266"/>
      <c r="J6" s="266"/>
      <c r="K6" s="80">
        <f>E6/12</f>
        <v>1844.6225000000002</v>
      </c>
      <c r="L6" s="80">
        <f>K6+G6+F6+E6+I6+H6+J6</f>
        <v>29380.892500000002</v>
      </c>
      <c r="M6" s="80">
        <f>0.038*L6</f>
        <v>1116.473915</v>
      </c>
      <c r="N6" s="308">
        <f>L6+M6</f>
        <v>30497.366415</v>
      </c>
      <c r="O6" s="297"/>
      <c r="P6" s="227"/>
      <c r="Q6" s="204">
        <f>(N6)*$Q$3</f>
        <v>8136.6973595219997</v>
      </c>
      <c r="R6" s="321">
        <f>(N6)*$R$3</f>
        <v>152.486832075</v>
      </c>
      <c r="S6" s="308">
        <f>+Q6+R6</f>
        <v>8289.1841915969999</v>
      </c>
      <c r="T6" s="333"/>
      <c r="U6" s="80">
        <f>(N6)*$U$3</f>
        <v>2592.2761452750001</v>
      </c>
      <c r="V6" s="308">
        <f>N6+O6+S6+U6</f>
        <v>41378.826751871995</v>
      </c>
    </row>
    <row r="7" spans="1:22" ht="15.75" thickBot="1" x14ac:dyDescent="0.3">
      <c r="A7" s="248">
        <f>VLOOKUP($B7,'Compensi annuali categorie'!$B$4:$C$20,2,TRUE)</f>
        <v>20344.07</v>
      </c>
      <c r="B7" s="249" t="s">
        <v>21</v>
      </c>
      <c r="C7" s="250">
        <f>18/36</f>
        <v>0.5</v>
      </c>
      <c r="D7" s="251">
        <f>9/12</f>
        <v>0.75</v>
      </c>
      <c r="E7" s="252">
        <f>A7*C7*D7</f>
        <v>7629.0262499999999</v>
      </c>
      <c r="F7" s="253">
        <f>VLOOKUP($B7,'Compensi annuali categorie'!$B$4:$H$20,7,TRUE)*C7*(12*D7)</f>
        <v>206.1</v>
      </c>
      <c r="G7" s="253">
        <f>VLOOKUP($B7,'Compensi annuali categorie'!$B$4:$H$20,4,TRUE)*C7*(12*D7)</f>
        <v>103.5</v>
      </c>
      <c r="H7" s="254"/>
      <c r="I7" s="255"/>
      <c r="J7" s="255"/>
      <c r="K7" s="255">
        <f>E7/12</f>
        <v>635.75218749999999</v>
      </c>
      <c r="L7" s="253">
        <f>K7+G7+F7+E7+I7+H7+J7</f>
        <v>8574.3784374999996</v>
      </c>
      <c r="M7" s="253">
        <f>0.038*L7</f>
        <v>325.82638062499996</v>
      </c>
      <c r="N7" s="305">
        <f t="shared" ref="N7" si="0">L7+M7</f>
        <v>8900.2048181249993</v>
      </c>
      <c r="O7" s="294"/>
      <c r="P7" s="256"/>
      <c r="Q7" s="254">
        <f t="shared" ref="Q7" si="1">(N7)*$Q$3</f>
        <v>2374.5746454757495</v>
      </c>
      <c r="R7" s="319">
        <f t="shared" ref="R7" si="2">(N7)*$R$3</f>
        <v>44.501024090624995</v>
      </c>
      <c r="S7" s="305">
        <f t="shared" ref="S7" si="3">+Q7+R7</f>
        <v>2419.0756695663745</v>
      </c>
      <c r="T7" s="327"/>
      <c r="U7" s="253">
        <f t="shared" ref="U7" si="4">(N7)*$U$3</f>
        <v>756.51740954062495</v>
      </c>
      <c r="V7" s="305">
        <f>N7+O7+S7+U7</f>
        <v>12075.797897232</v>
      </c>
    </row>
    <row r="8" spans="1:22" ht="15.75" thickBot="1" x14ac:dyDescent="0.3">
      <c r="A8" s="257">
        <f>VLOOKUP($B8,'Compensi annuali categorie'!$B$4:$C$20,2,TRUE)</f>
        <v>23220.05</v>
      </c>
      <c r="B8" s="258" t="s">
        <v>114</v>
      </c>
      <c r="C8" s="259">
        <f>3/36</f>
        <v>8.3333333333333329E-2</v>
      </c>
      <c r="D8" s="354">
        <f>6/12</f>
        <v>0.5</v>
      </c>
      <c r="E8" s="260">
        <f>A8*C8*D8</f>
        <v>967.5020833333333</v>
      </c>
      <c r="F8" s="186">
        <f>VLOOKUP($B8,'Compensi annuali categorie'!$B$4:$H$20,7,TRUE)*C8*(12*D8)</f>
        <v>25.950000000000003</v>
      </c>
      <c r="G8" s="186">
        <f>VLOOKUP($B8,'Compensi annuali categorie'!$B$4:$H$20,4,TRUE)*C8*(12*D8)</f>
        <v>8</v>
      </c>
      <c r="H8" s="205"/>
      <c r="I8" s="206"/>
      <c r="J8" s="206"/>
      <c r="K8" s="206">
        <f>E8/12</f>
        <v>80.625173611111109</v>
      </c>
      <c r="L8" s="186">
        <f>K8+G8+F8+E8+I8+H8+J8</f>
        <v>1082.0772569444443</v>
      </c>
      <c r="M8" s="186">
        <f>0.038*L8</f>
        <v>41.118935763888885</v>
      </c>
      <c r="N8" s="306">
        <f t="shared" ref="N8" si="5">L8+M8</f>
        <v>1123.1961927083332</v>
      </c>
      <c r="O8" s="295"/>
      <c r="P8" s="216"/>
      <c r="Q8" s="205">
        <f t="shared" ref="Q8" si="6">(N8)*$Q$3</f>
        <v>299.66874421458328</v>
      </c>
      <c r="R8" s="320">
        <f t="shared" ref="R8" si="7">(N8)*$R$3</f>
        <v>5.6159809635416664</v>
      </c>
      <c r="S8" s="306">
        <f t="shared" ref="S8" si="8">+Q8+R8</f>
        <v>305.28472517812497</v>
      </c>
      <c r="T8" s="328"/>
      <c r="U8" s="186">
        <f t="shared" ref="U8" si="9">(N8)*$U$3</f>
        <v>95.471676380208336</v>
      </c>
      <c r="V8" s="306">
        <f>N8+O8+S8+U8</f>
        <v>1523.9525942666664</v>
      </c>
    </row>
    <row r="9" spans="1:22" ht="13.5" thickBot="1" x14ac:dyDescent="0.3">
      <c r="A9" s="261"/>
      <c r="B9" s="262"/>
      <c r="C9" s="263" t="s">
        <v>20</v>
      </c>
      <c r="D9" s="263"/>
      <c r="E9" s="264">
        <f>E6+E7+E8</f>
        <v>30731.998333333333</v>
      </c>
      <c r="F9" s="264">
        <f t="shared" ref="F9:V9" si="10">F6+F7+F8</f>
        <v>854.85000000000014</v>
      </c>
      <c r="G9" s="264">
        <f t="shared" si="10"/>
        <v>339.5</v>
      </c>
      <c r="H9" s="264">
        <f t="shared" si="10"/>
        <v>4550</v>
      </c>
      <c r="I9" s="264">
        <f t="shared" si="10"/>
        <v>0</v>
      </c>
      <c r="J9" s="264">
        <f t="shared" si="10"/>
        <v>0</v>
      </c>
      <c r="K9" s="264">
        <f t="shared" si="10"/>
        <v>2560.9998611111114</v>
      </c>
      <c r="L9" s="264">
        <f t="shared" si="10"/>
        <v>39037.348194444443</v>
      </c>
      <c r="M9" s="289">
        <f t="shared" si="10"/>
        <v>1483.4192313888889</v>
      </c>
      <c r="N9" s="307">
        <f t="shared" si="10"/>
        <v>40520.767425833328</v>
      </c>
      <c r="O9" s="296">
        <f t="shared" si="10"/>
        <v>0</v>
      </c>
      <c r="P9" s="265"/>
      <c r="Q9" s="264">
        <f t="shared" si="10"/>
        <v>10810.940749212332</v>
      </c>
      <c r="R9" s="289">
        <f t="shared" si="10"/>
        <v>202.60383712916664</v>
      </c>
      <c r="S9" s="307">
        <f t="shared" si="10"/>
        <v>11013.544586341501</v>
      </c>
      <c r="T9" s="329"/>
      <c r="U9" s="289">
        <f t="shared" si="10"/>
        <v>3444.2652311958336</v>
      </c>
      <c r="V9" s="307">
        <f t="shared" si="10"/>
        <v>54978.577243370659</v>
      </c>
    </row>
    <row r="10" spans="1:22" ht="13.5" thickBot="1" x14ac:dyDescent="0.3">
      <c r="A10" s="270"/>
      <c r="B10" s="46"/>
      <c r="C10" s="46"/>
      <c r="D10" s="46"/>
      <c r="E10" s="131"/>
      <c r="F10" s="204"/>
      <c r="G10" s="204"/>
      <c r="H10" s="204"/>
      <c r="I10" s="204"/>
      <c r="J10" s="204"/>
      <c r="K10" s="204"/>
      <c r="L10" s="204"/>
      <c r="M10" s="80"/>
      <c r="N10" s="308"/>
      <c r="O10" s="297"/>
      <c r="P10" s="227"/>
      <c r="Q10" s="204"/>
      <c r="R10" s="321"/>
      <c r="S10" s="308"/>
      <c r="T10" s="330"/>
      <c r="U10" s="80"/>
      <c r="V10" s="308"/>
    </row>
    <row r="11" spans="1:22" ht="15.75" thickBot="1" x14ac:dyDescent="0.3">
      <c r="A11" s="237">
        <f>VLOOKUP($B11,'Compensi annuali categorie'!$B$4:$C$20,2,TRUE)</f>
        <v>20344.07</v>
      </c>
      <c r="B11" s="238" t="s">
        <v>21</v>
      </c>
      <c r="C11" s="162">
        <f>36/36</f>
        <v>1</v>
      </c>
      <c r="D11" s="239">
        <v>1</v>
      </c>
      <c r="E11" s="139">
        <f t="shared" ref="E11:E14" si="11">A11*C11*D11</f>
        <v>20344.07</v>
      </c>
      <c r="F11" s="79">
        <f>VLOOKUP($B11,'Compensi annuali categorie'!$B$4:$H$20,7,TRUE)*C11*(12*D11)</f>
        <v>549.59999999999991</v>
      </c>
      <c r="G11" s="79">
        <f>VLOOKUP($B11,'Compensi annuali categorie'!$B$4:$H$20,4,TRUE)*C11*(12*D11)</f>
        <v>276</v>
      </c>
      <c r="H11" s="201"/>
      <c r="I11" s="202"/>
      <c r="J11" s="202"/>
      <c r="K11" s="202">
        <f>E11/12</f>
        <v>1695.3391666666666</v>
      </c>
      <c r="L11" s="79">
        <f t="shared" ref="L11:L14" si="12">K11+G11+F11+E11+I11+H11+J11</f>
        <v>22865.009166666667</v>
      </c>
      <c r="M11" s="79">
        <f t="shared" ref="M11:M26" si="13">0.038*L11</f>
        <v>868.87034833333337</v>
      </c>
      <c r="N11" s="309">
        <f t="shared" ref="N11:N26" si="14">L11+M11</f>
        <v>23733.879515000001</v>
      </c>
      <c r="O11" s="293"/>
      <c r="P11" s="215"/>
      <c r="Q11" s="201">
        <f>(N11)*$Q$3</f>
        <v>6332.1990546019997</v>
      </c>
      <c r="R11" s="318">
        <f>(N11)*$R$3</f>
        <v>118.669397575</v>
      </c>
      <c r="S11" s="309">
        <f t="shared" ref="S11:S14" si="15">+Q11+R11</f>
        <v>6450.8684521770001</v>
      </c>
      <c r="T11" s="326"/>
      <c r="U11" s="79">
        <f>(N11)*$U$3</f>
        <v>2017.3797587750003</v>
      </c>
      <c r="V11" s="309">
        <f t="shared" ref="V11:V26" si="16">N11+O11+S11+U11</f>
        <v>32202.127725952003</v>
      </c>
    </row>
    <row r="12" spans="1:22" ht="15.75" thickBot="1" x14ac:dyDescent="0.3">
      <c r="A12" s="240">
        <f>VLOOKUP($B12,'Compensi annuali categorie'!$B$4:$C$20,2,TRUE)</f>
        <v>22903.200000000001</v>
      </c>
      <c r="B12" s="241" t="s">
        <v>22</v>
      </c>
      <c r="C12" s="162">
        <f>36/36</f>
        <v>1</v>
      </c>
      <c r="D12" s="242">
        <v>1</v>
      </c>
      <c r="E12" s="243">
        <f t="shared" si="11"/>
        <v>22903.200000000001</v>
      </c>
      <c r="F12" s="244">
        <f>VLOOKUP($B12,'Compensi annuali categorie'!$B$4:$H$20,7,TRUE)*C12*(12*D12)</f>
        <v>549.59999999999991</v>
      </c>
      <c r="G12" s="244">
        <f>VLOOKUP($B12,'Compensi annuali categorie'!$B$4:$H$20,4,TRUE)*C12*(12*D12)</f>
        <v>204</v>
      </c>
      <c r="H12" s="245">
        <v>6000</v>
      </c>
      <c r="I12" s="246"/>
      <c r="J12" s="246"/>
      <c r="K12" s="246">
        <f>E12/12</f>
        <v>1908.6000000000001</v>
      </c>
      <c r="L12" s="244">
        <f t="shared" si="12"/>
        <v>31565.4</v>
      </c>
      <c r="M12" s="244">
        <f t="shared" si="13"/>
        <v>1199.4852000000001</v>
      </c>
      <c r="N12" s="310">
        <f t="shared" si="14"/>
        <v>32764.885200000001</v>
      </c>
      <c r="O12" s="298"/>
      <c r="P12" s="247"/>
      <c r="Q12" s="245">
        <f>(N12)*$Q$3</f>
        <v>8741.6713713600002</v>
      </c>
      <c r="R12" s="322">
        <f>(N12)*$R$3</f>
        <v>163.82442600000002</v>
      </c>
      <c r="S12" s="310">
        <f t="shared" si="15"/>
        <v>8905.4957973599994</v>
      </c>
      <c r="T12" s="331"/>
      <c r="U12" s="244">
        <f>(N12)*$U$3</f>
        <v>2785.0152420000004</v>
      </c>
      <c r="V12" s="310">
        <f t="shared" si="16"/>
        <v>44455.396239360001</v>
      </c>
    </row>
    <row r="13" spans="1:22" ht="15.75" thickBot="1" x14ac:dyDescent="0.3">
      <c r="A13" s="271">
        <f>VLOOKUP($B13,'Compensi annuali categorie'!$B$4:$C$20,2,TRUE)</f>
        <v>22086.11</v>
      </c>
      <c r="B13" s="272" t="s">
        <v>81</v>
      </c>
      <c r="C13" s="273">
        <v>0.91669999999999996</v>
      </c>
      <c r="D13" s="274">
        <v>1</v>
      </c>
      <c r="E13" s="275">
        <f t="shared" si="11"/>
        <v>20246.337037000001</v>
      </c>
      <c r="F13" s="226">
        <f>VLOOKUP($B13,'Compensi annuali categorie'!$B$4:$H$20,7,TRUE)*C13*(12*D13)</f>
        <v>503.81831999999997</v>
      </c>
      <c r="G13" s="226">
        <f>VLOOKUP($B13,'Compensi annuali categorie'!$B$4:$H$20,4,TRUE)*C13*(12*D13)</f>
        <v>198.00719999999998</v>
      </c>
      <c r="H13" s="224"/>
      <c r="I13" s="225"/>
      <c r="J13" s="225"/>
      <c r="K13" s="225">
        <f>E13/12</f>
        <v>1687.1947530833334</v>
      </c>
      <c r="L13" s="226">
        <f t="shared" si="12"/>
        <v>22635.357310083335</v>
      </c>
      <c r="M13" s="226">
        <f t="shared" si="13"/>
        <v>860.14357778316673</v>
      </c>
      <c r="N13" s="311">
        <f t="shared" si="14"/>
        <v>23495.500887866503</v>
      </c>
      <c r="O13" s="299"/>
      <c r="P13" s="228"/>
      <c r="Q13" s="224">
        <f>(N13)*$Q$3</f>
        <v>6268.5996368827828</v>
      </c>
      <c r="R13" s="323">
        <f>(N13)*$R$3</f>
        <v>117.47750443933252</v>
      </c>
      <c r="S13" s="311">
        <f t="shared" si="15"/>
        <v>6386.0771413221155</v>
      </c>
      <c r="T13" s="332"/>
      <c r="U13" s="226">
        <f>(N13)*$U$3</f>
        <v>1997.1175754686528</v>
      </c>
      <c r="V13" s="311">
        <f t="shared" si="16"/>
        <v>31878.69560465727</v>
      </c>
    </row>
    <row r="14" spans="1:22" ht="15.75" thickBot="1" x14ac:dyDescent="0.3">
      <c r="A14" s="52">
        <f>VLOOKUP($B14,'Compensi annuali categorie'!$B$4:$C$20,2,TRUE)</f>
        <v>21409.82</v>
      </c>
      <c r="B14" s="40" t="s">
        <v>23</v>
      </c>
      <c r="C14" s="162">
        <v>0.55559999999999998</v>
      </c>
      <c r="D14" s="169">
        <v>1</v>
      </c>
      <c r="E14" s="223">
        <f t="shared" si="11"/>
        <v>11895.295991999999</v>
      </c>
      <c r="F14" s="80">
        <f>VLOOKUP($B14,'Compensi annuali categorie'!$B$4:$H$20,7,TRUE)*C14*(12*D14)</f>
        <v>305.35775999999998</v>
      </c>
      <c r="G14" s="80">
        <f>VLOOKUP($B14,'Compensi annuali categorie'!$B$4:$H$20,4,TRUE)*C14*(12*D14)</f>
        <v>133.34399999999999</v>
      </c>
      <c r="H14" s="204"/>
      <c r="I14" s="266"/>
      <c r="J14" s="266"/>
      <c r="K14" s="266">
        <f>E14/12</f>
        <v>991.27466599999991</v>
      </c>
      <c r="L14" s="80">
        <f t="shared" si="12"/>
        <v>13325.272417999999</v>
      </c>
      <c r="M14" s="80">
        <f t="shared" si="13"/>
        <v>506.36035188399995</v>
      </c>
      <c r="N14" s="308">
        <f t="shared" si="14"/>
        <v>13831.632769883998</v>
      </c>
      <c r="O14" s="297">
        <v>1052.04</v>
      </c>
      <c r="P14" s="227"/>
      <c r="Q14" s="204">
        <f>(N14)*$Q$3</f>
        <v>3690.2796230050503</v>
      </c>
      <c r="R14" s="321">
        <f>(N14)*$R$3</f>
        <v>69.158163849419992</v>
      </c>
      <c r="S14" s="308">
        <f t="shared" si="15"/>
        <v>3759.4377868544702</v>
      </c>
      <c r="T14" s="333"/>
      <c r="U14" s="80">
        <f>(N14)*$U$3</f>
        <v>1175.6887854401398</v>
      </c>
      <c r="V14" s="308">
        <f t="shared" si="16"/>
        <v>19818.799342178605</v>
      </c>
    </row>
    <row r="15" spans="1:22" ht="13.5" thickBot="1" x14ac:dyDescent="0.3">
      <c r="A15" s="267"/>
      <c r="B15" s="262"/>
      <c r="C15" s="268">
        <v>1015</v>
      </c>
      <c r="D15" s="268"/>
      <c r="E15" s="269">
        <f t="shared" ref="E15" si="17">SUM(E11:E14)</f>
        <v>75388.903029000008</v>
      </c>
      <c r="F15" s="269">
        <f t="shared" ref="F15" si="18">SUM(F11:F14)</f>
        <v>1908.3760799999995</v>
      </c>
      <c r="G15" s="269">
        <f>SUM(G11:G14)</f>
        <v>811.35120000000006</v>
      </c>
      <c r="H15" s="269">
        <f>SUM(H11:H14)</f>
        <v>6000</v>
      </c>
      <c r="I15" s="269">
        <f t="shared" ref="I15:U15" si="19">SUM(I11:I14)</f>
        <v>0</v>
      </c>
      <c r="J15" s="269">
        <f t="shared" si="19"/>
        <v>0</v>
      </c>
      <c r="K15" s="269">
        <f t="shared" si="19"/>
        <v>6282.4085857500004</v>
      </c>
      <c r="L15" s="269">
        <f t="shared" si="19"/>
        <v>90391.038894749989</v>
      </c>
      <c r="M15" s="290">
        <f t="shared" si="19"/>
        <v>3434.8594780005001</v>
      </c>
      <c r="N15" s="312">
        <f t="shared" si="19"/>
        <v>93825.898372750511</v>
      </c>
      <c r="O15" s="300">
        <f t="shared" si="19"/>
        <v>1052.04</v>
      </c>
      <c r="P15" s="269">
        <f t="shared" si="19"/>
        <v>0</v>
      </c>
      <c r="Q15" s="269">
        <f t="shared" si="19"/>
        <v>25032.749685849834</v>
      </c>
      <c r="R15" s="290">
        <f t="shared" si="19"/>
        <v>469.12949186375249</v>
      </c>
      <c r="S15" s="312">
        <f t="shared" si="19"/>
        <v>25501.879177713585</v>
      </c>
      <c r="T15" s="300">
        <f t="shared" si="19"/>
        <v>0</v>
      </c>
      <c r="U15" s="290">
        <f t="shared" si="19"/>
        <v>7975.2013616837939</v>
      </c>
      <c r="V15" s="312">
        <f>SUM(V11:V14)</f>
        <v>128355.01891214789</v>
      </c>
    </row>
    <row r="16" spans="1:22" ht="13.5" thickBot="1" x14ac:dyDescent="0.3">
      <c r="A16" s="189"/>
      <c r="B16" s="46"/>
      <c r="C16" s="81"/>
      <c r="D16" s="81"/>
      <c r="E16" s="131"/>
      <c r="F16" s="204"/>
      <c r="G16" s="204"/>
      <c r="H16" s="204"/>
      <c r="I16" s="204"/>
      <c r="J16" s="204"/>
      <c r="K16" s="204"/>
      <c r="L16" s="204"/>
      <c r="M16" s="80"/>
      <c r="N16" s="308"/>
      <c r="O16" s="297"/>
      <c r="P16" s="227"/>
      <c r="Q16" s="204"/>
      <c r="R16" s="321"/>
      <c r="S16" s="308"/>
      <c r="T16" s="330"/>
      <c r="U16" s="80"/>
      <c r="V16" s="308"/>
    </row>
    <row r="17" spans="1:22" ht="15.75" thickBot="1" x14ac:dyDescent="0.3">
      <c r="A17" s="237">
        <f>VLOOKUP($B17,'Compensi annuali categorie'!$B$4:$C$20,2,TRUE)</f>
        <v>22135.47</v>
      </c>
      <c r="B17" s="238" t="s">
        <v>19</v>
      </c>
      <c r="C17" s="250">
        <f>18/36</f>
        <v>0.5</v>
      </c>
      <c r="D17" s="276">
        <f>4/12</f>
        <v>0.33333333333333331</v>
      </c>
      <c r="E17" s="139">
        <f t="shared" ref="E17:E19" si="20">A17*C17*D17</f>
        <v>3689.2449999999999</v>
      </c>
      <c r="F17" s="79">
        <f>VLOOKUP($B17,'Compensi annuali categorie'!$B$4:$H$20,7,TRUE)*C17*(12*D17)</f>
        <v>103.80000000000001</v>
      </c>
      <c r="G17" s="79">
        <f>VLOOKUP($B17,'Compensi annuali categorie'!$B$4:$H$20,4,TRUE)*C17*(12*D17)</f>
        <v>38</v>
      </c>
      <c r="H17" s="201"/>
      <c r="I17" s="202"/>
      <c r="J17" s="202"/>
      <c r="K17" s="79">
        <f>E17/12</f>
        <v>307.43708333333331</v>
      </c>
      <c r="L17" s="79">
        <f t="shared" ref="L17:L19" si="21">K17+G17+F17+E17+I17+H17+J17</f>
        <v>4138.4820833333333</v>
      </c>
      <c r="M17" s="79">
        <f t="shared" si="13"/>
        <v>157.26231916666666</v>
      </c>
      <c r="N17" s="309">
        <f t="shared" si="14"/>
        <v>4295.7444025000004</v>
      </c>
      <c r="O17" s="293"/>
      <c r="P17" s="215"/>
      <c r="Q17" s="201">
        <f>(N17)*$Q$3</f>
        <v>1146.104606587</v>
      </c>
      <c r="R17" s="318">
        <f>(N17)*$R$3</f>
        <v>21.478722012500004</v>
      </c>
      <c r="S17" s="309">
        <f>+Q17+R17</f>
        <v>1167.5833285995</v>
      </c>
      <c r="T17" s="326"/>
      <c r="U17" s="79">
        <f>(N17)*$U$3</f>
        <v>365.13827421250005</v>
      </c>
      <c r="V17" s="309">
        <f t="shared" si="16"/>
        <v>5828.4660053119997</v>
      </c>
    </row>
    <row r="18" spans="1:22" ht="15.75" thickBot="1" x14ac:dyDescent="0.3">
      <c r="A18" s="278">
        <f>VLOOKUP($B18,'Compensi annuali categorie'!$B$4:$C$20,2,TRUE)</f>
        <v>20344.07</v>
      </c>
      <c r="B18" s="249" t="s">
        <v>21</v>
      </c>
      <c r="C18" s="250">
        <f>34/36</f>
        <v>0.94444444444444442</v>
      </c>
      <c r="D18" s="251">
        <v>1</v>
      </c>
      <c r="E18" s="252">
        <f t="shared" si="20"/>
        <v>19213.843888888889</v>
      </c>
      <c r="F18" s="253">
        <f>VLOOKUP($B18,'Compensi annuali categorie'!$B$4:$H$20,7,TRUE)*C18*(12*D18)</f>
        <v>519.06666666666661</v>
      </c>
      <c r="G18" s="253">
        <f>VLOOKUP($B18,'Compensi annuali categorie'!$B$4:$H$20,4,TRUE)*C18*(12*D18)</f>
        <v>260.66666666666663</v>
      </c>
      <c r="H18" s="254"/>
      <c r="I18" s="254"/>
      <c r="J18" s="254"/>
      <c r="K18" s="255">
        <f>E18/12</f>
        <v>1601.1536574074073</v>
      </c>
      <c r="L18" s="253">
        <f t="shared" si="21"/>
        <v>21594.730879629627</v>
      </c>
      <c r="M18" s="253">
        <f t="shared" si="13"/>
        <v>820.59977342592583</v>
      </c>
      <c r="N18" s="305">
        <f t="shared" si="14"/>
        <v>22415.330653055553</v>
      </c>
      <c r="O18" s="294"/>
      <c r="P18" s="256"/>
      <c r="Q18" s="254">
        <f>(N18)*$Q$3</f>
        <v>5980.4102182352208</v>
      </c>
      <c r="R18" s="319">
        <f>(N18)*$R$3</f>
        <v>112.07665326527777</v>
      </c>
      <c r="S18" s="305">
        <f>+Q18+R18</f>
        <v>6092.4868715004986</v>
      </c>
      <c r="T18" s="327"/>
      <c r="U18" s="253">
        <f>(N18)*$U$3</f>
        <v>1905.3031055097222</v>
      </c>
      <c r="V18" s="305">
        <f t="shared" si="16"/>
        <v>30413.120630065776</v>
      </c>
    </row>
    <row r="19" spans="1:22" ht="15.75" thickBot="1" x14ac:dyDescent="0.3">
      <c r="A19" s="257">
        <f>VLOOKUP($B19,'Compensi annuali categorie'!$B$4:$C$20,2,TRUE)</f>
        <v>23543.200000000001</v>
      </c>
      <c r="B19" s="279" t="s">
        <v>26</v>
      </c>
      <c r="C19" s="162">
        <f>36/36</f>
        <v>1</v>
      </c>
      <c r="D19" s="280">
        <v>1</v>
      </c>
      <c r="E19" s="260">
        <f t="shared" si="20"/>
        <v>23543.200000000001</v>
      </c>
      <c r="F19" s="186">
        <f>VLOOKUP($B19,'Compensi annuali categorie'!$B$4:$H$20,7,TRUE)*C19*(12*D19)</f>
        <v>549.59999999999991</v>
      </c>
      <c r="G19" s="186">
        <f>VLOOKUP($B19,'Compensi annuali categorie'!$B$4:$H$20,4,TRUE)*C19*(12*D19)</f>
        <v>0</v>
      </c>
      <c r="H19" s="205"/>
      <c r="I19" s="206"/>
      <c r="J19" s="206"/>
      <c r="K19" s="206">
        <f>E19/12</f>
        <v>1961.9333333333334</v>
      </c>
      <c r="L19" s="186">
        <f t="shared" si="21"/>
        <v>26054.733333333334</v>
      </c>
      <c r="M19" s="186">
        <f t="shared" si="13"/>
        <v>990.0798666666667</v>
      </c>
      <c r="N19" s="306">
        <f t="shared" si="14"/>
        <v>27044.813200000001</v>
      </c>
      <c r="O19" s="295"/>
      <c r="P19" s="216"/>
      <c r="Q19" s="205">
        <f>(N19)*$Q$3</f>
        <v>7215.5561617599997</v>
      </c>
      <c r="R19" s="320">
        <f>(N19)*$R$3</f>
        <v>135.22406599999999</v>
      </c>
      <c r="S19" s="306">
        <f>+Q19+R19</f>
        <v>7350.7802277599994</v>
      </c>
      <c r="T19" s="328"/>
      <c r="U19" s="186">
        <f>(N19)*$U$3</f>
        <v>2298.8091220000001</v>
      </c>
      <c r="V19" s="306">
        <f t="shared" si="16"/>
        <v>36694.402549760001</v>
      </c>
    </row>
    <row r="20" spans="1:22" ht="15.75" thickBot="1" x14ac:dyDescent="0.3">
      <c r="A20" s="281">
        <f>VLOOKUP($B20,'Compensi annuali categorie'!$B$4:$C$20,2,TRUE)</f>
        <v>25451.86</v>
      </c>
      <c r="B20" s="282" t="s">
        <v>115</v>
      </c>
      <c r="C20" s="283">
        <f>6/36</f>
        <v>0.16666666666666666</v>
      </c>
      <c r="D20" s="355">
        <f>6/12</f>
        <v>0.5</v>
      </c>
      <c r="E20" s="284">
        <f t="shared" ref="E20" si="22">A20*C20*D20</f>
        <v>2120.9883333333332</v>
      </c>
      <c r="F20" s="285">
        <f>VLOOKUP($B20,'Compensi annuali categorie'!$B$4:$H$20,7,TRUE)*C20*(12*D20)</f>
        <v>51.900000000000006</v>
      </c>
      <c r="G20" s="285">
        <f>VLOOKUP($B20,'Compensi annuali categorie'!$B$4:$H$20,4,TRUE)*C20*(12*D20)</f>
        <v>9</v>
      </c>
      <c r="H20" s="286"/>
      <c r="I20" s="287"/>
      <c r="J20" s="287"/>
      <c r="K20" s="287">
        <f>E20/12</f>
        <v>176.74902777777777</v>
      </c>
      <c r="L20" s="285">
        <f t="shared" ref="L20" si="23">K20+G20+F20+E20+I20+H20+J20</f>
        <v>2358.6373611111112</v>
      </c>
      <c r="M20" s="285">
        <f t="shared" ref="M20" si="24">0.038*L20</f>
        <v>89.628219722222227</v>
      </c>
      <c r="N20" s="313">
        <f t="shared" ref="N20" si="25">L20+M20</f>
        <v>2448.2655808333334</v>
      </c>
      <c r="O20" s="301"/>
      <c r="P20" s="288"/>
      <c r="Q20" s="286">
        <f>(N20)*$Q$3</f>
        <v>653.19725696633327</v>
      </c>
      <c r="R20" s="324">
        <f>(N20)*$R$3</f>
        <v>12.241327904166667</v>
      </c>
      <c r="S20" s="313">
        <f>+Q20+R20</f>
        <v>665.43858487049988</v>
      </c>
      <c r="T20" s="334"/>
      <c r="U20" s="285">
        <f>(N20)*$U$3</f>
        <v>208.10257437083337</v>
      </c>
      <c r="V20" s="313">
        <f t="shared" ref="V20" si="26">N20+O20+S20+U20</f>
        <v>3321.8067400746668</v>
      </c>
    </row>
    <row r="21" spans="1:22" ht="13.5" thickBot="1" x14ac:dyDescent="0.3">
      <c r="A21" s="190"/>
      <c r="B21" s="184"/>
      <c r="C21" s="187">
        <v>1081</v>
      </c>
      <c r="D21" s="195"/>
      <c r="E21" s="207">
        <f t="shared" ref="E21:O21" si="27">SUM(E17:E20)</f>
        <v>48567.277222222219</v>
      </c>
      <c r="F21" s="207">
        <f t="shared" si="27"/>
        <v>1224.3666666666666</v>
      </c>
      <c r="G21" s="207">
        <f t="shared" si="27"/>
        <v>307.66666666666663</v>
      </c>
      <c r="H21" s="207">
        <f>SUM(H17:H20)</f>
        <v>0</v>
      </c>
      <c r="I21" s="207">
        <f t="shared" si="27"/>
        <v>0</v>
      </c>
      <c r="J21" s="207">
        <f t="shared" si="27"/>
        <v>0</v>
      </c>
      <c r="K21" s="207">
        <f t="shared" si="27"/>
        <v>4047.2731018518516</v>
      </c>
      <c r="L21" s="207">
        <f t="shared" si="27"/>
        <v>54146.583657407406</v>
      </c>
      <c r="M21" s="291">
        <f t="shared" si="27"/>
        <v>2057.5701789814816</v>
      </c>
      <c r="N21" s="314">
        <f t="shared" si="27"/>
        <v>56204.15383638889</v>
      </c>
      <c r="O21" s="302">
        <f t="shared" si="27"/>
        <v>0</v>
      </c>
      <c r="P21" s="227">
        <v>1082</v>
      </c>
      <c r="Q21" s="207">
        <f>SUM(Q17:Q20)</f>
        <v>14995.268243548555</v>
      </c>
      <c r="R21" s="291">
        <f>SUM(R17:R20)</f>
        <v>281.02076918194444</v>
      </c>
      <c r="S21" s="314">
        <f>SUM(S17:S20)</f>
        <v>15276.289012730498</v>
      </c>
      <c r="T21" s="335" t="s">
        <v>27</v>
      </c>
      <c r="U21" s="291">
        <f>SUM(U17:U20)</f>
        <v>4777.3530760930562</v>
      </c>
      <c r="V21" s="314">
        <f>SUM(V17:V20)</f>
        <v>76257.795925212442</v>
      </c>
    </row>
    <row r="22" spans="1:22" ht="13.5" thickBot="1" x14ac:dyDescent="0.3">
      <c r="A22" s="210"/>
      <c r="B22" s="211"/>
      <c r="C22" s="212"/>
      <c r="D22" s="188"/>
      <c r="E22" s="213"/>
      <c r="F22" s="213"/>
      <c r="G22" s="213"/>
      <c r="H22" s="213"/>
      <c r="I22" s="213"/>
      <c r="J22" s="213"/>
      <c r="K22" s="213"/>
      <c r="L22" s="213"/>
      <c r="M22" s="214"/>
      <c r="N22" s="315"/>
      <c r="O22" s="213"/>
      <c r="P22" s="215"/>
      <c r="Q22" s="213"/>
      <c r="R22" s="214"/>
      <c r="S22" s="315"/>
      <c r="T22" s="217"/>
      <c r="U22" s="214"/>
      <c r="V22" s="315"/>
    </row>
    <row r="23" spans="1:22" ht="15.75" thickBot="1" x14ac:dyDescent="0.3">
      <c r="A23" s="229">
        <f>VLOOKUP($B23,'Compensi annuali categorie'!$B$4:$C$20,2,TRUE)</f>
        <v>19063.8</v>
      </c>
      <c r="B23" s="230" t="s">
        <v>25</v>
      </c>
      <c r="C23" s="162">
        <f>36/36</f>
        <v>1</v>
      </c>
      <c r="D23" s="231">
        <v>1</v>
      </c>
      <c r="E23" s="232">
        <f>A23*C23*D23</f>
        <v>19063.8</v>
      </c>
      <c r="F23" s="233">
        <f>VLOOKUP($B23,'Compensi annuali categorie'!$B$4:$H$20,7,TRUE)*C23*(12*D23)</f>
        <v>471.71999999999991</v>
      </c>
      <c r="G23" s="233">
        <f>VLOOKUP($B23,'Compensi annuali categorie'!$B$4:$H$20,4,TRUE)*C23*(12*D23)</f>
        <v>288</v>
      </c>
      <c r="H23" s="234"/>
      <c r="I23" s="234"/>
      <c r="J23" s="234"/>
      <c r="K23" s="235">
        <f>E23/12</f>
        <v>1588.6499999999999</v>
      </c>
      <c r="L23" s="233">
        <f>K23+G23+F23+E23+I23+H23+J23</f>
        <v>21412.17</v>
      </c>
      <c r="M23" s="233">
        <f>0.038*L23</f>
        <v>813.6624599999999</v>
      </c>
      <c r="N23" s="316">
        <f>L23+M23</f>
        <v>22225.832459999998</v>
      </c>
      <c r="O23" s="303"/>
      <c r="P23" s="236"/>
      <c r="Q23" s="234">
        <f>(N23)*$Q$3</f>
        <v>5929.8521003279993</v>
      </c>
      <c r="R23" s="325">
        <f>(N23)*$R$3</f>
        <v>111.12916229999999</v>
      </c>
      <c r="S23" s="316">
        <f>+Q23+R23</f>
        <v>6040.9812626279991</v>
      </c>
      <c r="T23" s="336"/>
      <c r="U23" s="233">
        <f>(N23)*$U$3</f>
        <v>1889.1957591</v>
      </c>
      <c r="V23" s="316">
        <f>N23+O23+S23+U23</f>
        <v>30156.009481727997</v>
      </c>
    </row>
    <row r="24" spans="1:22" ht="15.75" thickBot="1" x14ac:dyDescent="0.3">
      <c r="A24" s="52"/>
      <c r="B24" s="46"/>
      <c r="C24" s="187">
        <v>1150</v>
      </c>
      <c r="D24" s="195"/>
      <c r="E24" s="207">
        <f>E23</f>
        <v>19063.8</v>
      </c>
      <c r="F24" s="207">
        <f t="shared" ref="F24:V24" si="28">F23</f>
        <v>471.71999999999991</v>
      </c>
      <c r="G24" s="207">
        <f t="shared" si="28"/>
        <v>288</v>
      </c>
      <c r="H24" s="207">
        <f t="shared" si="28"/>
        <v>0</v>
      </c>
      <c r="I24" s="207">
        <f t="shared" si="28"/>
        <v>0</v>
      </c>
      <c r="J24" s="207">
        <f t="shared" si="28"/>
        <v>0</v>
      </c>
      <c r="K24" s="207">
        <f t="shared" si="28"/>
        <v>1588.6499999999999</v>
      </c>
      <c r="L24" s="207">
        <f t="shared" si="28"/>
        <v>21412.17</v>
      </c>
      <c r="M24" s="291">
        <f t="shared" si="28"/>
        <v>813.6624599999999</v>
      </c>
      <c r="N24" s="314">
        <f t="shared" si="28"/>
        <v>22225.832459999998</v>
      </c>
      <c r="O24" s="302">
        <f t="shared" si="28"/>
        <v>0</v>
      </c>
      <c r="P24" s="227">
        <v>1151</v>
      </c>
      <c r="Q24" s="207">
        <f t="shared" si="28"/>
        <v>5929.8521003279993</v>
      </c>
      <c r="R24" s="291">
        <f t="shared" si="28"/>
        <v>111.12916229999999</v>
      </c>
      <c r="S24" s="314">
        <f t="shared" si="28"/>
        <v>6040.9812626279991</v>
      </c>
      <c r="T24" s="335">
        <v>1152</v>
      </c>
      <c r="U24" s="291">
        <f t="shared" si="28"/>
        <v>1889.1957591</v>
      </c>
      <c r="V24" s="314">
        <f t="shared" si="28"/>
        <v>30156.009481727997</v>
      </c>
    </row>
    <row r="25" spans="1:22" ht="13.5" thickBot="1" x14ac:dyDescent="0.3">
      <c r="A25" s="189"/>
      <c r="B25" s="46"/>
      <c r="C25" s="46"/>
      <c r="D25" s="46"/>
      <c r="E25" s="131"/>
      <c r="F25" s="204"/>
      <c r="G25" s="204"/>
      <c r="H25" s="204"/>
      <c r="I25" s="204"/>
      <c r="J25" s="204"/>
      <c r="K25" s="204"/>
      <c r="L25" s="204"/>
      <c r="M25" s="80"/>
      <c r="N25" s="308"/>
      <c r="O25" s="297"/>
      <c r="P25" s="215"/>
      <c r="Q25" s="204"/>
      <c r="R25" s="321"/>
      <c r="S25" s="308"/>
      <c r="T25" s="330"/>
      <c r="U25" s="80"/>
      <c r="V25" s="308"/>
    </row>
    <row r="26" spans="1:22" ht="15.75" thickBot="1" x14ac:dyDescent="0.3">
      <c r="A26" s="237">
        <f>VLOOKUP($B26,'Compensi annuali categorie'!$B$4:$C$20,2,TRUE)</f>
        <v>20344.07</v>
      </c>
      <c r="B26" s="238" t="s">
        <v>21</v>
      </c>
      <c r="C26" s="162">
        <f>36/36</f>
        <v>1</v>
      </c>
      <c r="D26" s="276">
        <f>1/12</f>
        <v>8.3333333333333329E-2</v>
      </c>
      <c r="E26" s="139">
        <f t="shared" ref="E26" si="29">A26*C26*D26</f>
        <v>1695.3391666666666</v>
      </c>
      <c r="F26" s="79">
        <f>VLOOKUP($B26,'Compensi annuali categorie'!$B$4:$H$20,7,TRUE)*C26*(12*D26)</f>
        <v>45.8</v>
      </c>
      <c r="G26" s="79">
        <f>VLOOKUP($B26,'Compensi annuali categorie'!$B$4:$H$20,4,TRUE)*C26*(12*D26)</f>
        <v>23</v>
      </c>
      <c r="H26" s="201"/>
      <c r="I26" s="208">
        <f>1203.41*D26*C26</f>
        <v>100.28416666666666</v>
      </c>
      <c r="J26" s="202"/>
      <c r="K26" s="202">
        <f>E26/12</f>
        <v>141.27826388888889</v>
      </c>
      <c r="L26" s="79">
        <f t="shared" ref="L26" si="30">K26+G26+F26+E26+I26+H26+J26</f>
        <v>2005.7015972222221</v>
      </c>
      <c r="M26" s="79">
        <f t="shared" si="13"/>
        <v>76.216660694444442</v>
      </c>
      <c r="N26" s="309">
        <f t="shared" si="14"/>
        <v>2081.9182579166663</v>
      </c>
      <c r="O26" s="293"/>
      <c r="P26" s="215"/>
      <c r="Q26" s="201">
        <f>(N26)*$Q$3</f>
        <v>555.45579121216656</v>
      </c>
      <c r="R26" s="318">
        <f>(N26)*$R$3</f>
        <v>10.409591289583332</v>
      </c>
      <c r="S26" s="309">
        <f>+Q26+R26</f>
        <v>565.86538250174988</v>
      </c>
      <c r="T26" s="326"/>
      <c r="U26" s="79">
        <f>(N26)*$U$3</f>
        <v>176.96305192291666</v>
      </c>
      <c r="V26" s="309">
        <f t="shared" si="16"/>
        <v>2824.7466923413331</v>
      </c>
    </row>
    <row r="27" spans="1:22" ht="15.75" thickBot="1" x14ac:dyDescent="0.3">
      <c r="A27" s="240">
        <f>VLOOKUP($B27,'Compensi annuali categorie'!$B$4:$C$20,2,TRUE)</f>
        <v>22086.11</v>
      </c>
      <c r="B27" s="353" t="s">
        <v>124</v>
      </c>
      <c r="C27" s="162">
        <f>12/36</f>
        <v>0.33333333333333331</v>
      </c>
      <c r="D27" s="169">
        <f>1/12</f>
        <v>8.3333333333333329E-2</v>
      </c>
      <c r="E27" s="243">
        <f>A27*C27*D27</f>
        <v>613.50305555555553</v>
      </c>
      <c r="F27" s="244">
        <f>VLOOKUP($B27,'Compensi annuali categorie'!$B$4:$H$20,7,TRUE)*C27*(12*D27)</f>
        <v>15.266666666666666</v>
      </c>
      <c r="G27" s="244">
        <f>VLOOKUP($B27,'Compensi annuali categorie'!$B$4:$H$20,4,TRUE)*C27*(12*D27)</f>
        <v>6</v>
      </c>
      <c r="H27" s="245"/>
      <c r="I27" s="277">
        <f>1203.41*D27*C27</f>
        <v>33.428055555555552</v>
      </c>
      <c r="J27" s="246"/>
      <c r="K27" s="246">
        <f>E27/12</f>
        <v>51.12525462962963</v>
      </c>
      <c r="L27" s="244">
        <f>K27+G27+F27+E27+I27+H27+J27</f>
        <v>719.32303240740748</v>
      </c>
      <c r="M27" s="244">
        <f t="shared" ref="M27" si="31">0.038*L27</f>
        <v>27.334275231481485</v>
      </c>
      <c r="N27" s="310">
        <f t="shared" ref="N27" si="32">L27+M27</f>
        <v>746.65730763888894</v>
      </c>
      <c r="O27" s="298"/>
      <c r="P27" s="247"/>
      <c r="Q27" s="245">
        <f t="shared" ref="Q27" si="33">(N27)*$Q$3</f>
        <v>199.20816967805555</v>
      </c>
      <c r="R27" s="322">
        <f t="shared" ref="R27" si="34">(N27)*$R$3</f>
        <v>3.7332865381944447</v>
      </c>
      <c r="S27" s="310">
        <f>+Q27+R27</f>
        <v>202.94145621625</v>
      </c>
      <c r="T27" s="331"/>
      <c r="U27" s="244">
        <f t="shared" ref="U27" si="35">(N27)*$U$3</f>
        <v>63.465871149305563</v>
      </c>
      <c r="V27" s="310">
        <f t="shared" ref="V27" si="36">N27+O27+S27+U27</f>
        <v>1013.0646350044445</v>
      </c>
    </row>
    <row r="28" spans="1:22" ht="15.75" thickBot="1" x14ac:dyDescent="0.3">
      <c r="A28" s="240">
        <f>VLOOKUP($B28,'Compensi annuali categorie'!$B$4:$C$20,2,TRUE)</f>
        <v>22086.11</v>
      </c>
      <c r="B28" s="353" t="s">
        <v>81</v>
      </c>
      <c r="C28" s="162">
        <f>18/36</f>
        <v>0.5</v>
      </c>
      <c r="D28" s="169">
        <f>9/12</f>
        <v>0.75</v>
      </c>
      <c r="E28" s="243">
        <f t="shared" ref="E28" si="37">A28*C28*D28</f>
        <v>8282.2912500000002</v>
      </c>
      <c r="F28" s="244">
        <f>VLOOKUP($B28,'Compensi annuali categorie'!$B$4:$H$20,7,TRUE)*C28*(12*D28)</f>
        <v>206.1</v>
      </c>
      <c r="G28" s="244">
        <f>VLOOKUP($B28,'Compensi annuali categorie'!$B$4:$H$20,4,TRUE)*C28*(12*D28)</f>
        <v>81</v>
      </c>
      <c r="H28" s="245">
        <f>6000*D28*C28</f>
        <v>2250</v>
      </c>
      <c r="I28" s="277">
        <f>1203.41*D28*C28</f>
        <v>451.27875000000006</v>
      </c>
      <c r="J28" s="246"/>
      <c r="K28" s="246">
        <f>E28/12</f>
        <v>690.19093750000002</v>
      </c>
      <c r="L28" s="244">
        <f>K28+G28+F28+E28+I28+H28+J28</f>
        <v>11960.8609375</v>
      </c>
      <c r="M28" s="244">
        <f t="shared" ref="M28" si="38">0.038*L28</f>
        <v>454.512715625</v>
      </c>
      <c r="N28" s="310">
        <f>L28+M28</f>
        <v>12415.373653125</v>
      </c>
      <c r="O28" s="298"/>
      <c r="P28" s="247">
        <v>1262</v>
      </c>
      <c r="Q28" s="245">
        <f t="shared" ref="Q28" si="39">(N28)*$Q$3</f>
        <v>3312.4216906537495</v>
      </c>
      <c r="R28" s="322">
        <f t="shared" ref="R28" si="40">(N28)*$R$3</f>
        <v>62.076868265625002</v>
      </c>
      <c r="S28" s="310">
        <f>+Q28+R28</f>
        <v>3374.4985589193743</v>
      </c>
      <c r="T28" s="331"/>
      <c r="U28" s="244">
        <f t="shared" ref="U28" si="41">(N28)*$U$3</f>
        <v>1055.306760515625</v>
      </c>
      <c r="V28" s="310">
        <f>N28+O28+S28+U28</f>
        <v>16845.178972559999</v>
      </c>
    </row>
    <row r="29" spans="1:22" ht="15.75" thickBot="1" x14ac:dyDescent="0.3">
      <c r="A29" s="240"/>
      <c r="B29" s="184"/>
      <c r="C29" s="185">
        <v>1261</v>
      </c>
      <c r="D29" s="185"/>
      <c r="E29" s="203">
        <f>E26+E27+E28</f>
        <v>10591.133472222222</v>
      </c>
      <c r="F29" s="203">
        <f t="shared" ref="F29:V29" si="42">F26+F27+F28</f>
        <v>267.16666666666663</v>
      </c>
      <c r="G29" s="203">
        <f t="shared" si="42"/>
        <v>110</v>
      </c>
      <c r="H29" s="203">
        <f t="shared" si="42"/>
        <v>2250</v>
      </c>
      <c r="I29" s="203">
        <f t="shared" si="42"/>
        <v>584.99097222222224</v>
      </c>
      <c r="J29" s="203">
        <f t="shared" si="42"/>
        <v>0</v>
      </c>
      <c r="K29" s="203">
        <f t="shared" si="42"/>
        <v>882.59445601851849</v>
      </c>
      <c r="L29" s="203">
        <f t="shared" si="42"/>
        <v>14685.88556712963</v>
      </c>
      <c r="M29" s="203">
        <f t="shared" si="42"/>
        <v>558.0636515509259</v>
      </c>
      <c r="N29" s="203">
        <f t="shared" si="42"/>
        <v>15243.949218680555</v>
      </c>
      <c r="O29" s="203">
        <f t="shared" si="42"/>
        <v>0</v>
      </c>
      <c r="P29" s="203"/>
      <c r="Q29" s="203">
        <f t="shared" si="42"/>
        <v>4067.0856515439718</v>
      </c>
      <c r="R29" s="203">
        <f t="shared" si="42"/>
        <v>76.219746093402776</v>
      </c>
      <c r="S29" s="203">
        <f t="shared" si="42"/>
        <v>4143.305397637374</v>
      </c>
      <c r="T29" s="203"/>
      <c r="U29" s="203">
        <f t="shared" si="42"/>
        <v>1295.7356835878472</v>
      </c>
      <c r="V29" s="203">
        <f t="shared" si="42"/>
        <v>20682.990299905778</v>
      </c>
    </row>
    <row r="30" spans="1:22" ht="13.5" thickBot="1" x14ac:dyDescent="0.3">
      <c r="A30" s="191"/>
      <c r="B30" s="46"/>
      <c r="C30" s="46"/>
      <c r="D30" s="46"/>
      <c r="E30" s="131"/>
      <c r="F30" s="204"/>
      <c r="G30" s="204"/>
      <c r="H30" s="204"/>
      <c r="I30" s="204"/>
      <c r="J30" s="204"/>
      <c r="K30" s="204"/>
      <c r="L30" s="204"/>
      <c r="M30" s="80"/>
      <c r="N30" s="308"/>
      <c r="O30" s="297"/>
      <c r="P30" s="215"/>
      <c r="Q30" s="204"/>
      <c r="R30" s="321">
        <f>(N30)*$R$3</f>
        <v>0</v>
      </c>
      <c r="S30" s="308"/>
      <c r="T30" s="330"/>
      <c r="U30" s="80"/>
      <c r="V30" s="308"/>
    </row>
    <row r="31" spans="1:22" ht="13.5" thickBot="1" x14ac:dyDescent="0.3">
      <c r="A31" s="192" t="s">
        <v>45</v>
      </c>
      <c r="B31" s="193"/>
      <c r="C31" s="194"/>
      <c r="D31" s="194"/>
      <c r="E31" s="209">
        <f t="shared" ref="E31:S31" si="43">E9+E15+E21+E29+E24</f>
        <v>184343.11205677778</v>
      </c>
      <c r="F31" s="209">
        <f t="shared" si="43"/>
        <v>4726.4794133333335</v>
      </c>
      <c r="G31" s="209">
        <f t="shared" si="43"/>
        <v>1856.5178666666666</v>
      </c>
      <c r="H31" s="209">
        <f t="shared" si="43"/>
        <v>12800</v>
      </c>
      <c r="I31" s="209">
        <f t="shared" si="43"/>
        <v>584.99097222222224</v>
      </c>
      <c r="J31" s="209">
        <f t="shared" si="43"/>
        <v>0</v>
      </c>
      <c r="K31" s="209">
        <f t="shared" si="43"/>
        <v>15361.92600473148</v>
      </c>
      <c r="L31" s="209">
        <f t="shared" si="43"/>
        <v>219673.02631373145</v>
      </c>
      <c r="M31" s="292">
        <f t="shared" si="43"/>
        <v>8347.5749999217969</v>
      </c>
      <c r="N31" s="317">
        <f t="shared" si="43"/>
        <v>228020.60131365329</v>
      </c>
      <c r="O31" s="304">
        <f t="shared" si="43"/>
        <v>1052.04</v>
      </c>
      <c r="P31" s="209">
        <f t="shared" si="43"/>
        <v>2233</v>
      </c>
      <c r="Q31" s="209">
        <f t="shared" si="43"/>
        <v>60835.896430482688</v>
      </c>
      <c r="R31" s="292">
        <f t="shared" si="43"/>
        <v>1140.1030065682664</v>
      </c>
      <c r="S31" s="317">
        <f t="shared" si="43"/>
        <v>61975.999437050959</v>
      </c>
      <c r="T31" s="304"/>
      <c r="U31" s="292">
        <f>U9+U15+U21+U29+U24</f>
        <v>19381.751111660527</v>
      </c>
      <c r="V31" s="337">
        <f>N31+O31+S31+U31</f>
        <v>310430.39186236478</v>
      </c>
    </row>
    <row r="33" spans="1:22" x14ac:dyDescent="0.25">
      <c r="E33" s="14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1:22" x14ac:dyDescent="0.25">
      <c r="E34" s="13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82"/>
    </row>
    <row r="35" spans="1:22" x14ac:dyDescent="0.25">
      <c r="E35" s="13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82"/>
      <c r="Q35" s="82"/>
      <c r="R35" s="82"/>
      <c r="S35" s="82"/>
      <c r="T35" s="82"/>
      <c r="U35" s="82"/>
      <c r="V35" s="82"/>
    </row>
    <row r="36" spans="1:22" x14ac:dyDescent="0.25">
      <c r="E36" s="13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82"/>
      <c r="Q36" s="82"/>
      <c r="R36" s="82"/>
      <c r="S36" s="82"/>
      <c r="T36" s="82"/>
      <c r="U36" s="82"/>
      <c r="V36" s="82"/>
    </row>
    <row r="37" spans="1:22" ht="15" x14ac:dyDescent="0.25">
      <c r="A37" s="83"/>
      <c r="C37" s="83"/>
      <c r="D37" s="83"/>
      <c r="E37" s="138" t="s">
        <v>28</v>
      </c>
      <c r="F37" s="78"/>
      <c r="G37" s="78"/>
      <c r="I37" s="83"/>
      <c r="J37" s="83"/>
      <c r="L37" s="83"/>
      <c r="M37" s="104">
        <f>V31</f>
        <v>310430.39186236478</v>
      </c>
      <c r="N37" s="84"/>
      <c r="P37" s="85"/>
      <c r="Q37" s="85"/>
      <c r="R37" s="85"/>
      <c r="S37" s="85"/>
      <c r="T37" s="85"/>
      <c r="U37" s="85"/>
      <c r="V37" s="85"/>
    </row>
    <row r="38" spans="1:22" ht="13.5" thickBot="1" x14ac:dyDescent="0.3">
      <c r="M38" s="84"/>
      <c r="N38" s="84"/>
      <c r="P38" s="85"/>
      <c r="Q38" s="85"/>
      <c r="R38" s="85"/>
      <c r="S38" s="85"/>
      <c r="T38" s="85"/>
      <c r="U38" s="85"/>
      <c r="V38" s="85"/>
    </row>
    <row r="39" spans="1:22" ht="15.75" thickTop="1" x14ac:dyDescent="0.25">
      <c r="A39" s="83"/>
      <c r="C39" s="83"/>
      <c r="D39" s="83"/>
      <c r="E39" s="142" t="s">
        <v>29</v>
      </c>
      <c r="F39" s="86"/>
      <c r="G39" s="86"/>
      <c r="H39" s="87"/>
      <c r="I39" s="86"/>
      <c r="J39" s="86"/>
      <c r="K39" s="86"/>
      <c r="L39" s="86"/>
      <c r="M39" s="182">
        <v>27260.26</v>
      </c>
      <c r="N39" s="109"/>
      <c r="P39" s="85"/>
      <c r="Q39" s="85"/>
      <c r="R39" s="85"/>
      <c r="S39" s="85"/>
      <c r="T39" s="85"/>
      <c r="U39" s="85"/>
      <c r="V39" s="85"/>
    </row>
    <row r="40" spans="1:22" ht="15" x14ac:dyDescent="0.25">
      <c r="A40" s="83"/>
      <c r="C40" s="83"/>
      <c r="D40" s="83"/>
      <c r="E40" s="143" t="s">
        <v>30</v>
      </c>
      <c r="F40" s="74"/>
      <c r="G40" s="74"/>
      <c r="H40" s="84"/>
      <c r="I40" s="88"/>
      <c r="J40" s="88"/>
      <c r="K40" s="88"/>
      <c r="L40" s="88"/>
      <c r="M40" s="159">
        <f>-('conteggi dipendenti'!L20)</f>
        <v>-4225.5926399999998</v>
      </c>
      <c r="N40" s="109"/>
    </row>
    <row r="41" spans="1:22" ht="15" x14ac:dyDescent="0.25">
      <c r="A41" s="83"/>
      <c r="C41" s="83"/>
      <c r="D41" s="83"/>
      <c r="E41" s="143" t="s">
        <v>31</v>
      </c>
      <c r="F41" s="74"/>
      <c r="G41" s="74"/>
      <c r="H41" s="84"/>
      <c r="I41" s="88"/>
      <c r="J41" s="88"/>
      <c r="K41" s="88"/>
      <c r="L41" s="88"/>
      <c r="M41" s="159">
        <f>-('conteggi dipendenti'!J40)</f>
        <v>-9725.1361653333352</v>
      </c>
      <c r="N41" s="109" t="s">
        <v>117</v>
      </c>
    </row>
    <row r="42" spans="1:22" ht="15" x14ac:dyDescent="0.25">
      <c r="A42" s="83"/>
      <c r="C42" s="83"/>
      <c r="D42" s="83"/>
      <c r="E42" s="143" t="s">
        <v>46</v>
      </c>
      <c r="F42" s="74"/>
      <c r="G42" s="74"/>
      <c r="H42" s="84"/>
      <c r="I42" s="88"/>
      <c r="J42" s="88"/>
      <c r="K42" s="88"/>
      <c r="L42" s="88"/>
      <c r="M42" s="159">
        <f>SUM(M39:M41)*27.18/100</f>
        <v>3617.5305787103994</v>
      </c>
      <c r="N42" s="109"/>
    </row>
    <row r="43" spans="1:22" ht="15.75" thickBot="1" x14ac:dyDescent="0.3">
      <c r="A43" s="83"/>
      <c r="C43" s="83"/>
      <c r="D43" s="83"/>
      <c r="E43" s="144" t="s">
        <v>47</v>
      </c>
      <c r="F43" s="89"/>
      <c r="G43" s="89"/>
      <c r="H43" s="90"/>
      <c r="I43" s="91"/>
      <c r="J43" s="91"/>
      <c r="K43" s="91"/>
      <c r="L43" s="91"/>
      <c r="M43" s="179">
        <f>SUM(M39:M41)*0.085</f>
        <v>1131.3101515466665</v>
      </c>
      <c r="N43" s="109" t="s">
        <v>118</v>
      </c>
      <c r="S43" s="218"/>
    </row>
    <row r="44" spans="1:22" ht="13.5" thickTop="1" x14ac:dyDescent="0.25">
      <c r="E44" s="145" t="s">
        <v>32</v>
      </c>
      <c r="F44" s="78"/>
      <c r="G44" s="78"/>
      <c r="H44" s="92"/>
      <c r="M44" s="180">
        <v>2200</v>
      </c>
      <c r="N44" s="84"/>
      <c r="O44" s="92"/>
      <c r="P44" s="78"/>
      <c r="S44" s="218"/>
    </row>
    <row r="45" spans="1:22" ht="15.75" thickBot="1" x14ac:dyDescent="0.3">
      <c r="E45" s="145" t="s">
        <v>33</v>
      </c>
      <c r="F45" s="74"/>
      <c r="G45" s="74"/>
      <c r="H45" s="93"/>
      <c r="I45" s="88"/>
      <c r="J45" s="88"/>
      <c r="L45" s="88"/>
      <c r="M45" s="181">
        <v>800</v>
      </c>
      <c r="N45" s="94"/>
      <c r="O45" s="92"/>
      <c r="P45" s="78"/>
    </row>
    <row r="46" spans="1:22" ht="15" x14ac:dyDescent="0.25">
      <c r="A46" s="83"/>
      <c r="C46" s="83"/>
      <c r="D46" s="83"/>
      <c r="E46" s="146" t="s">
        <v>34</v>
      </c>
      <c r="F46" s="95"/>
      <c r="G46" s="95"/>
      <c r="H46" s="96"/>
      <c r="I46" s="97"/>
      <c r="J46" s="97"/>
      <c r="K46" s="98"/>
      <c r="L46" s="97"/>
      <c r="M46" s="99">
        <v>3000</v>
      </c>
      <c r="N46" s="84"/>
      <c r="Q46" s="83"/>
    </row>
    <row r="47" spans="1:22" ht="15" x14ac:dyDescent="0.25">
      <c r="A47" s="83"/>
      <c r="C47" s="83"/>
      <c r="D47" s="83"/>
      <c r="E47" s="147" t="s">
        <v>75</v>
      </c>
      <c r="F47" s="74"/>
      <c r="G47" s="84"/>
      <c r="H47" s="219"/>
      <c r="I47" s="88" t="s">
        <v>71</v>
      </c>
      <c r="J47" s="88" t="s">
        <v>72</v>
      </c>
      <c r="K47" s="88" t="s">
        <v>73</v>
      </c>
      <c r="L47" s="219"/>
      <c r="M47" s="100"/>
      <c r="N47" s="84"/>
      <c r="Q47" s="83"/>
    </row>
    <row r="48" spans="1:22" ht="15" x14ac:dyDescent="0.25">
      <c r="A48" s="83"/>
      <c r="C48" s="83"/>
      <c r="D48" s="83"/>
      <c r="E48" s="147"/>
      <c r="F48" s="74"/>
      <c r="G48" s="84"/>
      <c r="H48" s="219" t="s">
        <v>76</v>
      </c>
      <c r="I48" s="101">
        <v>1250</v>
      </c>
      <c r="J48" s="80">
        <v>0</v>
      </c>
      <c r="K48" s="80">
        <f>I48*8.5/100</f>
        <v>106.25</v>
      </c>
      <c r="L48" s="101">
        <v>0</v>
      </c>
      <c r="M48" s="100">
        <f>I48+J48+K48+L48</f>
        <v>1356.25</v>
      </c>
      <c r="N48" s="84"/>
      <c r="Q48" s="83"/>
    </row>
    <row r="49" spans="5:16" x14ac:dyDescent="0.25">
      <c r="E49" s="147" t="s">
        <v>35</v>
      </c>
      <c r="F49" s="74"/>
      <c r="G49" s="88"/>
      <c r="H49" s="88"/>
      <c r="I49" s="88" t="s">
        <v>71</v>
      </c>
      <c r="J49" s="88" t="s">
        <v>72</v>
      </c>
      <c r="K49" s="88" t="s">
        <v>73</v>
      </c>
      <c r="L49" s="88"/>
      <c r="M49" s="100"/>
      <c r="N49" s="84"/>
      <c r="O49" s="78"/>
    </row>
    <row r="50" spans="5:16" x14ac:dyDescent="0.25">
      <c r="E50" s="147"/>
      <c r="F50" s="74"/>
      <c r="G50" s="88"/>
      <c r="H50" s="88"/>
      <c r="I50" s="80">
        <v>15689.04</v>
      </c>
      <c r="J50" s="80">
        <f>I50*23.8/100</f>
        <v>3733.9915200000005</v>
      </c>
      <c r="K50" s="80">
        <f>I50*8.5/100</f>
        <v>1333.5683999999999</v>
      </c>
      <c r="L50" s="88"/>
      <c r="M50" s="100">
        <f>I50+J50+K50+L50</f>
        <v>20756.599920000001</v>
      </c>
      <c r="N50" s="84"/>
      <c r="O50" s="78"/>
    </row>
    <row r="51" spans="5:16" x14ac:dyDescent="0.25">
      <c r="E51" s="147" t="s">
        <v>36</v>
      </c>
      <c r="F51" s="74"/>
      <c r="G51" s="88"/>
      <c r="H51" s="88"/>
      <c r="I51" s="88"/>
      <c r="J51" s="88"/>
      <c r="K51" s="88"/>
      <c r="L51" s="88"/>
      <c r="M51" s="100">
        <v>6000</v>
      </c>
      <c r="N51" s="141" t="s">
        <v>37</v>
      </c>
      <c r="P51" s="78"/>
    </row>
    <row r="52" spans="5:16" ht="38.25" x14ac:dyDescent="0.25">
      <c r="E52" s="148" t="s">
        <v>59</v>
      </c>
      <c r="F52" s="88"/>
      <c r="G52" s="88"/>
      <c r="H52" s="88" t="s">
        <v>80</v>
      </c>
      <c r="I52" s="220" t="s">
        <v>125</v>
      </c>
      <c r="J52" s="88" t="s">
        <v>72</v>
      </c>
      <c r="K52" s="88" t="s">
        <v>73</v>
      </c>
      <c r="L52" s="88"/>
      <c r="M52" s="100"/>
      <c r="N52" s="84"/>
      <c r="P52" s="78"/>
    </row>
    <row r="53" spans="5:16" x14ac:dyDescent="0.25">
      <c r="E53" s="148"/>
      <c r="F53" s="88"/>
      <c r="G53" s="221" t="s">
        <v>111</v>
      </c>
      <c r="H53" s="88">
        <v>6000</v>
      </c>
      <c r="I53" s="88">
        <f>H53*0.25</f>
        <v>1500</v>
      </c>
      <c r="J53" s="80">
        <f>(H53+I53)*23.8/100</f>
        <v>1785</v>
      </c>
      <c r="K53" s="80">
        <f>(H53+I53)*8.5/100</f>
        <v>637.5</v>
      </c>
      <c r="L53" s="100">
        <f>H53+I53+J53+K53</f>
        <v>9922.5</v>
      </c>
      <c r="M53" s="222"/>
      <c r="N53" s="109" t="s">
        <v>116</v>
      </c>
      <c r="P53" s="78"/>
    </row>
    <row r="54" spans="5:16" x14ac:dyDescent="0.25">
      <c r="E54" s="148"/>
      <c r="F54" s="88"/>
      <c r="G54" s="221" t="s">
        <v>112</v>
      </c>
      <c r="H54" s="88">
        <v>9100</v>
      </c>
      <c r="I54" s="88">
        <f>H54*0.25</f>
        <v>2275</v>
      </c>
      <c r="J54" s="80">
        <f>(H54+I54)*23.8/100</f>
        <v>2707.25</v>
      </c>
      <c r="K54" s="80">
        <f>(H54+I54)*8.5/100</f>
        <v>966.875</v>
      </c>
      <c r="L54" s="100">
        <f>H54+I54+J54+K54</f>
        <v>15049.125</v>
      </c>
      <c r="M54" s="222"/>
      <c r="N54" s="109" t="s">
        <v>116</v>
      </c>
      <c r="P54" s="78"/>
    </row>
    <row r="55" spans="5:16" x14ac:dyDescent="0.25">
      <c r="E55" s="148"/>
      <c r="F55" s="88"/>
      <c r="G55" s="221" t="s">
        <v>7</v>
      </c>
      <c r="H55" s="88">
        <v>6000</v>
      </c>
      <c r="I55" s="88">
        <f>H55*0.25</f>
        <v>1500</v>
      </c>
      <c r="J55" s="80">
        <f>(H55+I55)*23.8/100</f>
        <v>1785</v>
      </c>
      <c r="K55" s="80">
        <f>(H55+I55)*8.5/100</f>
        <v>637.5</v>
      </c>
      <c r="L55" s="100">
        <f>H55+I55+J55+K55</f>
        <v>9922.5</v>
      </c>
      <c r="M55" s="222"/>
      <c r="N55" s="109"/>
      <c r="P55" s="78"/>
    </row>
    <row r="56" spans="5:16" x14ac:dyDescent="0.25">
      <c r="E56" s="148" t="s">
        <v>38</v>
      </c>
      <c r="F56" s="88"/>
      <c r="G56" s="88"/>
      <c r="H56" s="88"/>
      <c r="I56" s="88"/>
      <c r="J56" s="88"/>
      <c r="K56" s="88"/>
      <c r="L56" s="88"/>
      <c r="M56" s="100">
        <f>M52*0.2718</f>
        <v>0</v>
      </c>
      <c r="N56" s="84"/>
      <c r="P56" s="78"/>
    </row>
    <row r="57" spans="5:16" x14ac:dyDescent="0.25">
      <c r="E57" s="148" t="s">
        <v>78</v>
      </c>
      <c r="F57" s="88"/>
      <c r="G57" s="88"/>
      <c r="H57" s="88"/>
      <c r="I57" s="88"/>
      <c r="J57" s="88"/>
      <c r="K57" s="88"/>
      <c r="L57" s="88"/>
      <c r="M57" s="100">
        <f>M52*0.085</f>
        <v>0</v>
      </c>
      <c r="N57" s="84"/>
      <c r="P57" s="78"/>
    </row>
    <row r="58" spans="5:16" x14ac:dyDescent="0.25">
      <c r="E58" s="148" t="s">
        <v>60</v>
      </c>
      <c r="F58" s="88"/>
      <c r="G58" s="88"/>
      <c r="H58" s="88" t="s">
        <v>71</v>
      </c>
      <c r="I58" s="88" t="s">
        <v>72</v>
      </c>
      <c r="J58" s="88" t="s">
        <v>73</v>
      </c>
      <c r="K58" s="88" t="s">
        <v>74</v>
      </c>
      <c r="L58" s="88" t="s">
        <v>120</v>
      </c>
      <c r="M58" s="100"/>
      <c r="N58" s="84"/>
      <c r="P58" s="78"/>
    </row>
    <row r="59" spans="5:16" x14ac:dyDescent="0.25">
      <c r="E59" s="148"/>
      <c r="F59" s="88" t="s">
        <v>123</v>
      </c>
      <c r="G59" s="88" t="s">
        <v>69</v>
      </c>
      <c r="H59" s="80"/>
      <c r="I59" s="80"/>
      <c r="J59" s="80"/>
      <c r="K59" s="80"/>
      <c r="L59" s="80">
        <v>0</v>
      </c>
      <c r="M59" s="100">
        <f>K59</f>
        <v>0</v>
      </c>
      <c r="N59" s="109" t="s">
        <v>116</v>
      </c>
      <c r="P59" s="78"/>
    </row>
    <row r="60" spans="5:16" x14ac:dyDescent="0.25">
      <c r="E60" s="148"/>
      <c r="F60" s="88" t="s">
        <v>88</v>
      </c>
      <c r="G60" s="88" t="s">
        <v>70</v>
      </c>
      <c r="H60" s="80"/>
      <c r="I60" s="80"/>
      <c r="J60" s="80"/>
      <c r="K60" s="80">
        <v>800</v>
      </c>
      <c r="L60" s="80">
        <v>0</v>
      </c>
      <c r="M60" s="100">
        <f>K60</f>
        <v>800</v>
      </c>
      <c r="N60" s="109" t="s">
        <v>116</v>
      </c>
      <c r="P60" s="78"/>
    </row>
    <row r="61" spans="5:16" x14ac:dyDescent="0.25">
      <c r="E61" s="148"/>
      <c r="F61" s="88" t="s">
        <v>122</v>
      </c>
      <c r="G61" s="88" t="s">
        <v>119</v>
      </c>
      <c r="H61" s="80"/>
      <c r="I61" s="80"/>
      <c r="J61" s="80"/>
      <c r="K61" s="80" t="s">
        <v>121</v>
      </c>
      <c r="L61" s="80">
        <v>0</v>
      </c>
      <c r="M61" s="100">
        <v>0</v>
      </c>
      <c r="N61" s="109" t="s">
        <v>116</v>
      </c>
      <c r="P61" s="78"/>
    </row>
    <row r="62" spans="5:16" x14ac:dyDescent="0.25">
      <c r="E62" s="148" t="s">
        <v>55</v>
      </c>
      <c r="F62" s="88"/>
      <c r="G62" s="88"/>
      <c r="H62" s="88"/>
      <c r="I62" s="88"/>
      <c r="J62" s="88"/>
      <c r="K62" s="88"/>
      <c r="L62" s="88"/>
      <c r="M62" s="100">
        <v>2899.62</v>
      </c>
      <c r="N62" s="84"/>
      <c r="P62" s="78"/>
    </row>
    <row r="63" spans="5:16" x14ac:dyDescent="0.25">
      <c r="E63" s="148" t="s">
        <v>89</v>
      </c>
      <c r="F63" s="88"/>
      <c r="G63" s="88"/>
      <c r="H63" s="88"/>
      <c r="I63" s="88"/>
      <c r="J63" s="88"/>
      <c r="K63" s="88"/>
      <c r="L63" s="88"/>
      <c r="M63" s="100">
        <v>5000</v>
      </c>
      <c r="N63" s="84"/>
      <c r="P63" s="78"/>
    </row>
    <row r="64" spans="5:16" ht="13.5" thickBot="1" x14ac:dyDescent="0.3">
      <c r="E64" s="149" t="s">
        <v>79</v>
      </c>
      <c r="F64" s="102"/>
      <c r="G64" s="102"/>
      <c r="H64" s="102"/>
      <c r="I64" s="102"/>
      <c r="J64" s="102"/>
      <c r="K64" s="102"/>
      <c r="L64" s="102"/>
      <c r="M64" s="103">
        <v>0</v>
      </c>
      <c r="N64" s="84"/>
      <c r="P64" s="78"/>
    </row>
    <row r="65" spans="5:14" ht="13.5" thickBot="1" x14ac:dyDescent="0.3">
      <c r="M65" s="104">
        <f>SUM(M37:M64)</f>
        <v>371301.23370728851</v>
      </c>
      <c r="N65" s="104"/>
    </row>
    <row r="66" spans="5:14" ht="14.25" thickTop="1" thickBot="1" x14ac:dyDescent="0.3">
      <c r="E66" s="150" t="s">
        <v>39</v>
      </c>
      <c r="F66" s="105"/>
      <c r="G66" s="105"/>
      <c r="H66" s="105"/>
      <c r="I66" s="105"/>
      <c r="J66" s="105"/>
      <c r="K66" s="105"/>
      <c r="L66" s="105"/>
      <c r="M66" s="106">
        <v>428718.74359999999</v>
      </c>
      <c r="N66" s="104"/>
    </row>
    <row r="67" spans="5:14" ht="13.5" thickTop="1" x14ac:dyDescent="0.25"/>
    <row r="68" spans="5:14" x14ac:dyDescent="0.25">
      <c r="I68" s="85"/>
      <c r="J68" s="85"/>
      <c r="K68" s="85"/>
      <c r="L68" s="107" t="s">
        <v>58</v>
      </c>
      <c r="M68" s="108">
        <f>M66-M65</f>
        <v>57417.509892711474</v>
      </c>
      <c r="N68" s="183"/>
    </row>
  </sheetData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221E1-4FBB-43E4-9D8C-AAD76DB30159}">
  <dimension ref="A1:T40"/>
  <sheetViews>
    <sheetView workbookViewId="0">
      <selection activeCell="B16" sqref="B16:E17"/>
    </sheetView>
  </sheetViews>
  <sheetFormatPr defaultRowHeight="15" x14ac:dyDescent="0.25"/>
  <cols>
    <col min="1" max="1" width="13.85546875" customWidth="1"/>
    <col min="2" max="2" width="11.5703125" customWidth="1"/>
    <col min="4" max="4" width="11.140625" style="160" customWidth="1"/>
    <col min="6" max="6" width="15.42578125" style="62" customWidth="1"/>
    <col min="7" max="7" width="15.42578125" customWidth="1"/>
    <col min="8" max="8" width="15.85546875" style="62" customWidth="1"/>
    <col min="9" max="10" width="10.5703125" style="62" customWidth="1"/>
    <col min="11" max="11" width="12.5703125" style="62" customWidth="1"/>
    <col min="12" max="12" width="11.42578125" style="62" customWidth="1"/>
    <col min="13" max="13" width="10.85546875" customWidth="1"/>
    <col min="14" max="14" width="9.7109375" bestFit="1" customWidth="1"/>
    <col min="16" max="16" width="15.85546875" customWidth="1"/>
    <col min="17" max="18" width="14.7109375" style="62" customWidth="1"/>
    <col min="19" max="20" width="10.5703125" style="62" bestFit="1" customWidth="1"/>
  </cols>
  <sheetData>
    <row r="1" spans="1:20" x14ac:dyDescent="0.25">
      <c r="A1" s="175"/>
      <c r="B1" s="175"/>
      <c r="C1" s="175"/>
      <c r="D1" s="176"/>
      <c r="E1" s="175"/>
      <c r="F1" s="177"/>
      <c r="G1" s="175"/>
      <c r="H1" s="177"/>
    </row>
    <row r="2" spans="1:20" s="61" customFormat="1" ht="60.75" thickBot="1" x14ac:dyDescent="0.3">
      <c r="B2" s="61" t="s">
        <v>61</v>
      </c>
      <c r="D2" s="170" t="s">
        <v>97</v>
      </c>
      <c r="E2" s="61" t="s">
        <v>98</v>
      </c>
      <c r="F2" s="111" t="s">
        <v>99</v>
      </c>
      <c r="H2" s="111" t="s">
        <v>104</v>
      </c>
      <c r="I2" s="111" t="s">
        <v>93</v>
      </c>
      <c r="J2" s="111" t="s">
        <v>63</v>
      </c>
      <c r="K2" s="111" t="s">
        <v>64</v>
      </c>
      <c r="L2" s="111" t="s">
        <v>65</v>
      </c>
      <c r="M2" s="61" t="s">
        <v>66</v>
      </c>
      <c r="N2" s="61" t="s">
        <v>68</v>
      </c>
      <c r="Q2" s="111"/>
      <c r="R2" s="111"/>
      <c r="S2" s="111"/>
      <c r="T2" s="111"/>
    </row>
    <row r="3" spans="1:20" ht="15.75" thickBot="1" x14ac:dyDescent="0.3">
      <c r="A3" s="32" t="s">
        <v>67</v>
      </c>
      <c r="B3" s="52">
        <f>VLOOKUP($C3,'Compensi annuali categorie'!$B$4:$C$20,2,TRUE)</f>
        <v>22135.47</v>
      </c>
      <c r="C3" s="33" t="s">
        <v>19</v>
      </c>
      <c r="D3" s="161">
        <v>1</v>
      </c>
      <c r="E3" s="161">
        <v>1</v>
      </c>
      <c r="F3" s="62">
        <f>B3*D3*E3</f>
        <v>22135.47</v>
      </c>
      <c r="G3" s="52"/>
      <c r="H3" s="62">
        <f>H24</f>
        <v>0</v>
      </c>
      <c r="I3" s="62">
        <f>VLOOKUP($C3,'Compensi annuali categorie'!$B$4:$D$20,3,TRUE)*$D3*$E3</f>
        <v>158.76</v>
      </c>
      <c r="J3" s="62">
        <v>0</v>
      </c>
      <c r="K3" s="62">
        <f>VLOOKUP($C3,'Compensi annuali categorie'!$B$4:$G$20,5,TRUE)*$D3*$E3</f>
        <v>4.95</v>
      </c>
      <c r="L3" s="62">
        <f>VLOOKUP($C3,'Compensi annuali categorie'!$B$4:$G$20,6,TRUE)*$D3*$E3</f>
        <v>46.95</v>
      </c>
      <c r="M3" s="62">
        <f>VLOOKUP($C3,'Compensi annuali categorie'!$B$4:$G$20,4,TRUE)*$D3*$E3</f>
        <v>19</v>
      </c>
      <c r="N3">
        <v>0</v>
      </c>
    </row>
    <row r="4" spans="1:20" x14ac:dyDescent="0.25">
      <c r="A4" s="110" t="s">
        <v>92</v>
      </c>
      <c r="B4" s="52">
        <f>VLOOKUP($C4,'Compensi annuali categorie'!$B$4:$C$20,2,TRUE)</f>
        <v>20344.07</v>
      </c>
      <c r="C4" s="46" t="s">
        <v>21</v>
      </c>
      <c r="D4" s="162">
        <v>0.5</v>
      </c>
      <c r="E4" s="169">
        <f>9/12</f>
        <v>0.75</v>
      </c>
      <c r="F4" s="62">
        <f t="shared" ref="F4:F17" si="0">B4*D4*E4</f>
        <v>7629.0262499999999</v>
      </c>
      <c r="G4" s="52"/>
      <c r="H4" s="62">
        <f t="shared" ref="H4:H18" si="1">H25</f>
        <v>0</v>
      </c>
      <c r="I4" s="62">
        <f>VLOOKUP($C4,'Compensi annuali categorie'!$B$4:$D$20,3,TRUE)*D4*E4</f>
        <v>54.72</v>
      </c>
      <c r="J4" s="62">
        <v>0</v>
      </c>
      <c r="K4" s="62">
        <f>VLOOKUP($C4,'Compensi annuali categorie'!$B$4:$G$20,5,TRUE)*$D4*$E4</f>
        <v>1.6274999999999999</v>
      </c>
      <c r="L4" s="62">
        <f>VLOOKUP($C4,'Compensi annuali categorie'!$B$4:$G$20,6,TRUE)*$D4*$E4</f>
        <v>15.547499999999999</v>
      </c>
      <c r="M4" s="62">
        <f>VLOOKUP($C4,'Compensi annuali categorie'!$B$4:$G$20,4,TRUE)*$D4*$E4</f>
        <v>8.625</v>
      </c>
    </row>
    <row r="5" spans="1:20" ht="15.75" thickBot="1" x14ac:dyDescent="0.3">
      <c r="A5" s="34"/>
      <c r="B5" s="52"/>
      <c r="C5" s="34"/>
      <c r="D5" s="163"/>
      <c r="E5" s="172"/>
      <c r="F5" s="62">
        <f t="shared" si="0"/>
        <v>0</v>
      </c>
      <c r="G5" s="52"/>
      <c r="H5" s="62">
        <f t="shared" si="1"/>
        <v>0</v>
      </c>
      <c r="M5" s="62"/>
    </row>
    <row r="6" spans="1:20" ht="15.75" thickBot="1" x14ac:dyDescent="0.3">
      <c r="A6" s="35" t="s">
        <v>53</v>
      </c>
      <c r="B6" s="52">
        <f>VLOOKUP($C6,'Compensi annuali categorie'!$B$4:$C$20,2,TRUE)</f>
        <v>20344.07</v>
      </c>
      <c r="C6" s="36" t="s">
        <v>21</v>
      </c>
      <c r="D6" s="161">
        <v>1</v>
      </c>
      <c r="E6" s="161">
        <v>1</v>
      </c>
      <c r="F6" s="62">
        <f t="shared" si="0"/>
        <v>20344.07</v>
      </c>
      <c r="G6" s="52"/>
      <c r="H6" s="62">
        <f t="shared" si="1"/>
        <v>0</v>
      </c>
      <c r="I6" s="62">
        <f>VLOOKUP($C6,'Compensi annuali categorie'!$B$4:$D$20,3,TRUE)*D6*E6</f>
        <v>145.91999999999999</v>
      </c>
      <c r="J6" s="62">
        <v>0</v>
      </c>
      <c r="K6" s="62">
        <f>VLOOKUP($C6,'Compensi annuali categorie'!$B$4:$G$20,5,TRUE)*$D6*$E6</f>
        <v>4.34</v>
      </c>
      <c r="L6" s="62">
        <f>VLOOKUP($C6,'Compensi annuali categorie'!$B$4:$G$20,6,TRUE)*$D6*$E6</f>
        <v>41.46</v>
      </c>
      <c r="M6" s="62">
        <f>VLOOKUP($C6,'Compensi annuali categorie'!$B$4:$G$20,4,TRUE)*$D6*$E6</f>
        <v>23</v>
      </c>
      <c r="N6">
        <v>0</v>
      </c>
    </row>
    <row r="7" spans="1:20" ht="15.75" thickBot="1" x14ac:dyDescent="0.3">
      <c r="A7" s="37" t="s">
        <v>48</v>
      </c>
      <c r="B7" s="52">
        <f>VLOOKUP($C7,'Compensi annuali categorie'!$B$4:$C$20,2,TRUE)</f>
        <v>22903.200000000001</v>
      </c>
      <c r="C7" s="38" t="s">
        <v>22</v>
      </c>
      <c r="D7" s="161">
        <v>1</v>
      </c>
      <c r="E7" s="161">
        <v>1</v>
      </c>
      <c r="F7" s="62">
        <f t="shared" si="0"/>
        <v>22903.200000000001</v>
      </c>
      <c r="G7" s="52"/>
      <c r="H7" s="62">
        <f t="shared" si="1"/>
        <v>213.26083333333341</v>
      </c>
      <c r="I7" s="62">
        <f>VLOOKUP($C7,'Compensi annuali categorie'!$B$4:$D$20,3,TRUE)*D7*E7</f>
        <v>164.28</v>
      </c>
      <c r="J7" s="62">
        <v>0</v>
      </c>
      <c r="K7" s="62">
        <f>VLOOKUP($C7,'Compensi annuali categorie'!$B$4:$G$20,5,TRUE)*$D7*$E7</f>
        <v>4.34</v>
      </c>
      <c r="L7" s="62">
        <f>VLOOKUP($C7,'Compensi annuali categorie'!$B$4:$G$20,6,TRUE)*$D7*$E7</f>
        <v>41.46</v>
      </c>
      <c r="M7" s="62">
        <f>VLOOKUP($C7,'Compensi annuali categorie'!$B$4:$G$20,4,TRUE)*$D7*$E7</f>
        <v>17</v>
      </c>
      <c r="N7">
        <v>0</v>
      </c>
    </row>
    <row r="8" spans="1:20" ht="15.75" thickBot="1" x14ac:dyDescent="0.3">
      <c r="A8" s="39" t="s">
        <v>41</v>
      </c>
      <c r="B8" s="52">
        <f>VLOOKUP($C8,'Compensi annuali categorie'!$B$4:$C$20,2,TRUE)</f>
        <v>22086.11</v>
      </c>
      <c r="C8" s="40" t="s">
        <v>81</v>
      </c>
      <c r="D8" s="162">
        <v>0.91669999999999996</v>
      </c>
      <c r="E8" s="169">
        <v>1</v>
      </c>
      <c r="F8" s="62">
        <f t="shared" si="0"/>
        <v>20246.337037000001</v>
      </c>
      <c r="G8" s="52"/>
      <c r="H8" s="62">
        <f t="shared" si="1"/>
        <v>133.07733900000008</v>
      </c>
      <c r="I8" s="62">
        <f>VLOOKUP($C8,'Compensi annuali categorie'!$B$4:$D$20,3,TRUE)*D8*E8</f>
        <v>145.20527999999999</v>
      </c>
      <c r="J8" s="62">
        <v>0</v>
      </c>
      <c r="K8" s="62">
        <f>VLOOKUP($C8,'Compensi annuali categorie'!$B$4:$G$20,5,TRUE)*$D8*$E8</f>
        <v>3.9784779999999995</v>
      </c>
      <c r="L8" s="62">
        <f>VLOOKUP($C8,'Compensi annuali categorie'!$B$4:$G$20,6,TRUE)*$D8*$E8</f>
        <v>38.006382000000002</v>
      </c>
      <c r="M8" s="62">
        <f>VLOOKUP($C8,'Compensi annuali categorie'!$B$4:$G$20,4,TRUE)*$D8*$E8</f>
        <v>16.500599999999999</v>
      </c>
      <c r="N8">
        <v>0</v>
      </c>
    </row>
    <row r="9" spans="1:20" ht="15.75" thickBot="1" x14ac:dyDescent="0.3">
      <c r="A9" s="41" t="s">
        <v>42</v>
      </c>
      <c r="B9" s="52">
        <f>VLOOKUP($C9,'Compensi annuali categorie'!$B$4:$C$20,2,TRUE)</f>
        <v>21409.82</v>
      </c>
      <c r="C9" s="42" t="s">
        <v>23</v>
      </c>
      <c r="D9" s="164">
        <v>0.55559999999999998</v>
      </c>
      <c r="E9" s="169">
        <v>1</v>
      </c>
      <c r="F9" s="62">
        <f t="shared" si="0"/>
        <v>11895.295991999999</v>
      </c>
      <c r="G9" s="52"/>
      <c r="H9" s="62">
        <f t="shared" si="1"/>
        <v>49.344224999999973</v>
      </c>
      <c r="I9" s="62">
        <f>VLOOKUP($C9,'Compensi annuali categorie'!$B$4:$D$20,3,TRUE)*D9*E9</f>
        <v>85.340159999999997</v>
      </c>
      <c r="J9" s="62">
        <v>0</v>
      </c>
      <c r="K9" s="62">
        <f>VLOOKUP($C9,'Compensi annuali categorie'!$B$4:$G$20,5,TRUE)*$D9*$E9</f>
        <v>2.4113039999999999</v>
      </c>
      <c r="L9" s="62">
        <f>VLOOKUP($C9,'Compensi annuali categorie'!$B$4:$G$20,6,TRUE)*$D9*$E9</f>
        <v>23.035176</v>
      </c>
      <c r="M9" s="62">
        <f>VLOOKUP($C9,'Compensi annuali categorie'!$B$4:$G$20,4,TRUE)*$D9*$E9</f>
        <v>11.112</v>
      </c>
      <c r="N9">
        <v>0</v>
      </c>
    </row>
    <row r="10" spans="1:20" x14ac:dyDescent="0.25">
      <c r="A10" s="18"/>
      <c r="B10" s="52"/>
      <c r="C10" s="18"/>
      <c r="D10" s="165"/>
      <c r="E10" s="173"/>
      <c r="F10" s="62">
        <f t="shared" si="0"/>
        <v>0</v>
      </c>
      <c r="H10" s="62">
        <f t="shared" si="1"/>
        <v>0</v>
      </c>
      <c r="M10" s="62"/>
    </row>
    <row r="11" spans="1:20" ht="15.75" thickBot="1" x14ac:dyDescent="0.3">
      <c r="A11" s="28" t="s">
        <v>52</v>
      </c>
      <c r="B11" s="52">
        <f>VLOOKUP($C11,'Compensi annuali categorie'!$B$4:$C$20,2,TRUE)</f>
        <v>22135.47</v>
      </c>
      <c r="C11" s="21" t="s">
        <v>19</v>
      </c>
      <c r="D11" s="166">
        <v>0.5</v>
      </c>
      <c r="E11" s="169">
        <f>3/12</f>
        <v>0.25</v>
      </c>
      <c r="F11" s="62">
        <f t="shared" si="0"/>
        <v>2766.9337500000001</v>
      </c>
      <c r="H11" s="62">
        <f t="shared" si="1"/>
        <v>0</v>
      </c>
      <c r="I11" s="62">
        <f>VLOOKUP($C11,'Compensi annuali categorie'!$B$4:$D$20,3,TRUE)*D11*E11</f>
        <v>19.844999999999999</v>
      </c>
      <c r="J11" s="62">
        <v>0</v>
      </c>
      <c r="K11" s="62">
        <f>VLOOKUP($C11,'Compensi annuali categorie'!$B$4:$G$20,5,TRUE)*$D11*$E11</f>
        <v>0.61875000000000002</v>
      </c>
      <c r="L11" s="62">
        <f>VLOOKUP($C11,'Compensi annuali categorie'!$B$4:$G$20,6,TRUE)*$D11*$E11</f>
        <v>5.8687500000000004</v>
      </c>
      <c r="M11" s="62">
        <f>VLOOKUP($C11,'Compensi annuali categorie'!$B$4:$G$20,4,TRUE)*$D11*$E11</f>
        <v>2.375</v>
      </c>
      <c r="N11">
        <v>0</v>
      </c>
    </row>
    <row r="12" spans="1:20" ht="15.75" thickBot="1" x14ac:dyDescent="0.3">
      <c r="A12" s="43" t="s">
        <v>54</v>
      </c>
      <c r="B12" s="52">
        <f>VLOOKUP($C12,'Compensi annuali categorie'!$B$4:$C$20,2,TRUE)</f>
        <v>20344.07</v>
      </c>
      <c r="C12" s="44" t="s">
        <v>21</v>
      </c>
      <c r="D12" s="167">
        <v>0.97219999999999995</v>
      </c>
      <c r="E12" s="169">
        <v>1</v>
      </c>
      <c r="F12" s="62">
        <f t="shared" si="0"/>
        <v>19778.504853999999</v>
      </c>
      <c r="G12" s="52"/>
      <c r="H12" s="62">
        <f t="shared" si="1"/>
        <v>0</v>
      </c>
      <c r="I12" s="62">
        <f>VLOOKUP($C12,'Compensi annuali categorie'!$B$4:$D$20,3,TRUE)*D12*E12</f>
        <v>141.86342399999998</v>
      </c>
      <c r="J12" s="62">
        <v>0</v>
      </c>
      <c r="K12" s="62">
        <f>VLOOKUP($C12,'Compensi annuali categorie'!$B$4:$G$20,5,TRUE)*$D12*$E12</f>
        <v>4.2193480000000001</v>
      </c>
      <c r="L12" s="62">
        <f>VLOOKUP($C12,'Compensi annuali categorie'!$B$4:$G$20,6,TRUE)*$D12*$E12</f>
        <v>40.307411999999999</v>
      </c>
      <c r="M12" s="62">
        <f>VLOOKUP($C12,'Compensi annuali categorie'!$B$4:$G$20,4,TRUE)*$D12*$E12</f>
        <v>22.360599999999998</v>
      </c>
      <c r="N12">
        <v>0</v>
      </c>
    </row>
    <row r="13" spans="1:20" ht="15.75" thickBot="1" x14ac:dyDescent="0.3">
      <c r="A13" s="45" t="s">
        <v>43</v>
      </c>
      <c r="B13" s="52">
        <f>VLOOKUP($C13,'Compensi annuali categorie'!$B$4:$C$20,2,TRUE)</f>
        <v>19063.8</v>
      </c>
      <c r="C13" s="46" t="s">
        <v>25</v>
      </c>
      <c r="D13" s="161">
        <v>1</v>
      </c>
      <c r="E13" s="161">
        <v>1</v>
      </c>
      <c r="F13" s="62">
        <f t="shared" si="0"/>
        <v>19063.8</v>
      </c>
      <c r="G13" s="52"/>
      <c r="H13" s="62">
        <f t="shared" si="1"/>
        <v>85.810833333333292</v>
      </c>
      <c r="I13" s="62">
        <f>VLOOKUP($C13,'Compensi annuali categorie'!$B$4:$D$20,3,TRUE)*D13*E13</f>
        <v>136.68</v>
      </c>
      <c r="K13" s="62">
        <f>VLOOKUP($C13,'Compensi annuali categorie'!$B$4:$G$20,5,TRUE)*$D13*$E13</f>
        <v>3.73</v>
      </c>
      <c r="L13" s="62">
        <f>VLOOKUP($C13,'Compensi annuali categorie'!$B$4:$G$20,6,TRUE)*$D13*$E13</f>
        <v>35.58</v>
      </c>
      <c r="M13" s="62">
        <f>VLOOKUP($C13,'Compensi annuali categorie'!$B$4:$G$20,4,TRUE)*$D13*$E13</f>
        <v>24</v>
      </c>
      <c r="N13">
        <v>0</v>
      </c>
    </row>
    <row r="14" spans="1:20" ht="15.75" thickBot="1" x14ac:dyDescent="0.3">
      <c r="A14" s="47" t="s">
        <v>44</v>
      </c>
      <c r="B14" s="52">
        <f>VLOOKUP($C14,'Compensi annuali categorie'!$B$4:$C$20,2,TRUE)</f>
        <v>23543.200000000001</v>
      </c>
      <c r="C14" s="48" t="s">
        <v>26</v>
      </c>
      <c r="D14" s="161">
        <v>1</v>
      </c>
      <c r="E14" s="161">
        <v>1</v>
      </c>
      <c r="F14" s="62">
        <f t="shared" si="0"/>
        <v>23543.200000000001</v>
      </c>
      <c r="G14" s="52"/>
      <c r="H14" s="62">
        <f t="shared" si="1"/>
        <v>266.59416666666675</v>
      </c>
      <c r="I14" s="62">
        <f>VLOOKUP($C14,'Compensi annuali categorie'!$B$4:$D$20,3,TRUE)*D14*E14</f>
        <v>0</v>
      </c>
      <c r="J14" s="62">
        <v>3.35</v>
      </c>
      <c r="K14" s="62">
        <f>VLOOKUP($C14,'Compensi annuali categorie'!$B$4:$G$20,5,TRUE)*$D14*$E14</f>
        <v>4.34</v>
      </c>
      <c r="L14" s="62">
        <f>VLOOKUP($C14,'Compensi annuali categorie'!$B$4:$G$20,6,TRUE)*$D14*$E14</f>
        <v>41.46</v>
      </c>
      <c r="M14" s="62">
        <f>VLOOKUP($C14,'Compensi annuali categorie'!$B$4:$G$20,4,TRUE)*$D14*$E14</f>
        <v>0</v>
      </c>
      <c r="N14">
        <v>0</v>
      </c>
    </row>
    <row r="15" spans="1:20" ht="15.75" thickBot="1" x14ac:dyDescent="0.3">
      <c r="A15" s="34"/>
      <c r="B15" s="52"/>
      <c r="C15" s="34"/>
      <c r="D15" s="163"/>
      <c r="E15" s="172"/>
      <c r="F15" s="62">
        <f t="shared" si="0"/>
        <v>0</v>
      </c>
      <c r="H15" s="62">
        <f t="shared" si="1"/>
        <v>0</v>
      </c>
      <c r="M15" s="62"/>
    </row>
    <row r="16" spans="1:20" ht="15.75" thickBot="1" x14ac:dyDescent="0.3">
      <c r="A16" s="49" t="s">
        <v>90</v>
      </c>
      <c r="B16" s="52">
        <f>VLOOKUP($C16,'Compensi annuali categorie'!$B$4:$C$20,2,TRUE)</f>
        <v>20344.07</v>
      </c>
      <c r="C16" s="50" t="s">
        <v>21</v>
      </c>
      <c r="D16" s="161">
        <v>1</v>
      </c>
      <c r="E16" s="169">
        <f>1/12</f>
        <v>8.3333333333333329E-2</v>
      </c>
      <c r="F16" s="62">
        <f t="shared" si="0"/>
        <v>1695.3391666666666</v>
      </c>
      <c r="G16" s="52"/>
      <c r="H16" s="62">
        <f t="shared" si="1"/>
        <v>0</v>
      </c>
      <c r="I16" s="62">
        <f>VLOOKUP($C16,'Compensi annuali categorie'!$B$4:$D$20,3,TRUE)*D16*E16</f>
        <v>12.159999999999998</v>
      </c>
      <c r="J16" s="62">
        <v>0</v>
      </c>
      <c r="K16" s="62">
        <f>VLOOKUP($C16,'Compensi annuali categorie'!$B$4:$G$20,5,TRUE)*$D16*$E16</f>
        <v>0.36166666666666664</v>
      </c>
      <c r="L16" s="62">
        <f>VLOOKUP($C16,'Compensi annuali categorie'!$B$4:$G$20,6,TRUE)*$D16*$E16</f>
        <v>3.4550000000000001</v>
      </c>
      <c r="M16" s="62">
        <f>VLOOKUP($C16,'Compensi annuali categorie'!$B$4:$G$20,4,TRUE)*$D16*$E16</f>
        <v>1.9166666666666665</v>
      </c>
      <c r="N16" s="62">
        <f>92.57*D16*E16</f>
        <v>7.7141666666666655</v>
      </c>
    </row>
    <row r="17" spans="1:14" ht="15.75" thickBot="1" x14ac:dyDescent="0.3">
      <c r="A17" s="49" t="s">
        <v>90</v>
      </c>
      <c r="B17" s="52">
        <f>VLOOKUP($C17,'Compensi annuali categorie'!$B$4:$C$20,2,TRUE)</f>
        <v>20344.07</v>
      </c>
      <c r="C17" s="50" t="s">
        <v>21</v>
      </c>
      <c r="D17" s="168">
        <v>0.5</v>
      </c>
      <c r="E17" s="169">
        <f>11/12</f>
        <v>0.91666666666666663</v>
      </c>
      <c r="F17" s="62">
        <f t="shared" si="0"/>
        <v>9324.3654166666656</v>
      </c>
      <c r="H17" s="62">
        <f t="shared" si="1"/>
        <v>0</v>
      </c>
      <c r="I17" s="62">
        <f>VLOOKUP($C17,'Compensi annuali categorie'!$B$4:$D$20,3,TRUE)*D17*E17</f>
        <v>66.88</v>
      </c>
      <c r="J17" s="62">
        <v>0</v>
      </c>
      <c r="K17" s="62">
        <f>VLOOKUP($C17,'Compensi annuali categorie'!$B$4:$G$20,5,TRUE)*$D17*$E17</f>
        <v>1.9891666666666665</v>
      </c>
      <c r="L17" s="62">
        <f>VLOOKUP($C17,'Compensi annuali categorie'!$B$4:$G$20,6,TRUE)*$D17*$E17</f>
        <v>19.002500000000001</v>
      </c>
      <c r="M17" s="62">
        <f>VLOOKUP($C17,'Compensi annuali categorie'!$B$4:$G$20,4,TRUE)*$D17*$E17</f>
        <v>10.541666666666666</v>
      </c>
      <c r="N17" s="62">
        <f>92.57*D17*E17</f>
        <v>42.427916666666661</v>
      </c>
    </row>
    <row r="18" spans="1:14" x14ac:dyDescent="0.25">
      <c r="H18" s="62">
        <f t="shared" si="1"/>
        <v>0</v>
      </c>
    </row>
    <row r="19" spans="1:14" x14ac:dyDescent="0.25">
      <c r="H19" s="62">
        <f t="shared" ref="H19:N19" si="2">SUM(H3:H18)</f>
        <v>748.08739733333346</v>
      </c>
      <c r="I19" s="62">
        <f t="shared" si="2"/>
        <v>1131.6538639999999</v>
      </c>
      <c r="J19" s="62">
        <f t="shared" si="2"/>
        <v>3.35</v>
      </c>
      <c r="K19" s="62">
        <f t="shared" si="2"/>
        <v>36.906213333333334</v>
      </c>
      <c r="L19" s="62">
        <f t="shared" si="2"/>
        <v>352.13272000000001</v>
      </c>
      <c r="M19" s="171">
        <f t="shared" si="2"/>
        <v>156.43153333333331</v>
      </c>
      <c r="N19" s="171">
        <f t="shared" si="2"/>
        <v>50.142083333333325</v>
      </c>
    </row>
    <row r="20" spans="1:14" x14ac:dyDescent="0.25">
      <c r="G20" s="174" t="s">
        <v>105</v>
      </c>
      <c r="H20" s="112">
        <f>H19*12</f>
        <v>8977.0487680000006</v>
      </c>
      <c r="I20" s="112">
        <f t="shared" ref="I20:N20" si="3">I19*12</f>
        <v>13579.846367999999</v>
      </c>
      <c r="J20" s="112">
        <f t="shared" si="3"/>
        <v>40.200000000000003</v>
      </c>
      <c r="K20" s="112">
        <f t="shared" si="3"/>
        <v>442.87455999999997</v>
      </c>
      <c r="L20" s="112">
        <f t="shared" si="3"/>
        <v>4225.5926399999998</v>
      </c>
      <c r="M20" s="112">
        <f t="shared" si="3"/>
        <v>1877.1783999999998</v>
      </c>
      <c r="N20" s="112">
        <f t="shared" si="3"/>
        <v>601.70499999999993</v>
      </c>
    </row>
    <row r="22" spans="1:14" x14ac:dyDescent="0.25">
      <c r="A22" s="62"/>
      <c r="B22" s="62"/>
      <c r="D22"/>
      <c r="F22"/>
      <c r="G22" s="62"/>
      <c r="I22" s="62" t="s">
        <v>49</v>
      </c>
    </row>
    <row r="23" spans="1:14" ht="45.75" thickBot="1" x14ac:dyDescent="0.3">
      <c r="A23" s="62"/>
      <c r="B23" s="62"/>
      <c r="D23" s="61" t="s">
        <v>97</v>
      </c>
      <c r="E23" s="61" t="s">
        <v>98</v>
      </c>
      <c r="F23" s="113" t="s">
        <v>100</v>
      </c>
      <c r="G23" s="62" t="s">
        <v>71</v>
      </c>
      <c r="H23" s="62" t="s">
        <v>91</v>
      </c>
      <c r="I23" s="62" t="s">
        <v>50</v>
      </c>
      <c r="J23" s="62" t="s">
        <v>51</v>
      </c>
    </row>
    <row r="24" spans="1:14" ht="15.75" thickBot="1" x14ac:dyDescent="0.3">
      <c r="A24" s="116" t="s">
        <v>67</v>
      </c>
      <c r="B24" s="127"/>
      <c r="C24" s="33" t="s">
        <v>19</v>
      </c>
      <c r="D24" s="151">
        <v>1</v>
      </c>
      <c r="E24" s="161">
        <v>1</v>
      </c>
      <c r="F24" s="52">
        <f>B3*D3*E3</f>
        <v>22135.47</v>
      </c>
      <c r="G24" s="20">
        <f>22135.47*D24*E24</f>
        <v>22135.47</v>
      </c>
      <c r="H24" s="62">
        <f>($F24-$G24)/12</f>
        <v>0</v>
      </c>
      <c r="I24" s="62">
        <f>$F24-$G24</f>
        <v>0</v>
      </c>
      <c r="J24" s="62">
        <f t="shared" ref="J24" si="4">I24/12*13</f>
        <v>0</v>
      </c>
    </row>
    <row r="25" spans="1:14" ht="15.75" thickBot="1" x14ac:dyDescent="0.3">
      <c r="A25" s="117" t="s">
        <v>92</v>
      </c>
      <c r="B25" s="128"/>
      <c r="C25" s="46" t="s">
        <v>21</v>
      </c>
      <c r="D25" s="152">
        <v>0.5</v>
      </c>
      <c r="E25" s="169">
        <f>9/12</f>
        <v>0.75</v>
      </c>
      <c r="F25" s="52">
        <f>B4*D4*E4</f>
        <v>7629.0262499999999</v>
      </c>
      <c r="G25" s="20">
        <f>20344.07*D25*E25</f>
        <v>7629.0262499999999</v>
      </c>
      <c r="H25" s="62">
        <f>($F25-$G25)/12</f>
        <v>0</v>
      </c>
      <c r="I25" s="62">
        <f t="shared" ref="I25:I38" si="5">F25-G25</f>
        <v>0</v>
      </c>
      <c r="J25" s="62">
        <f t="shared" ref="J25" si="6">I25/12*13</f>
        <v>0</v>
      </c>
    </row>
    <row r="26" spans="1:14" ht="15.75" thickBot="1" x14ac:dyDescent="0.3">
      <c r="A26" s="114"/>
      <c r="B26" s="63"/>
      <c r="C26" s="34"/>
      <c r="D26" s="153"/>
      <c r="E26" s="172"/>
      <c r="F26" s="52"/>
      <c r="G26" s="20">
        <f t="shared" ref="G26:G36" si="7">22135.47*D26*E26</f>
        <v>0</v>
      </c>
      <c r="I26" s="62">
        <f t="shared" si="5"/>
        <v>0</v>
      </c>
    </row>
    <row r="27" spans="1:14" ht="15.75" thickBot="1" x14ac:dyDescent="0.3">
      <c r="A27" s="118" t="s">
        <v>53</v>
      </c>
      <c r="B27" s="129"/>
      <c r="C27" s="36" t="s">
        <v>21</v>
      </c>
      <c r="D27" s="151">
        <v>1</v>
      </c>
      <c r="E27" s="161">
        <v>1</v>
      </c>
      <c r="F27" s="52">
        <f>B6*D6*E6</f>
        <v>20344.07</v>
      </c>
      <c r="G27" s="20">
        <f>20344.07*D27*E27</f>
        <v>20344.07</v>
      </c>
      <c r="H27" s="62">
        <f>($F27-$G27)/12</f>
        <v>0</v>
      </c>
      <c r="I27" s="62">
        <f t="shared" si="5"/>
        <v>0</v>
      </c>
      <c r="J27" s="62">
        <f>I27/12*13</f>
        <v>0</v>
      </c>
    </row>
    <row r="28" spans="1:14" ht="15.75" thickBot="1" x14ac:dyDescent="0.3">
      <c r="A28" s="119" t="s">
        <v>48</v>
      </c>
      <c r="B28" s="130"/>
      <c r="C28" s="38" t="s">
        <v>22</v>
      </c>
      <c r="D28" s="151">
        <v>1</v>
      </c>
      <c r="E28" s="161">
        <v>1</v>
      </c>
      <c r="F28" s="52">
        <f>B7*D7*E7</f>
        <v>22903.200000000001</v>
      </c>
      <c r="G28" s="20">
        <f>20344.07*D28*E28</f>
        <v>20344.07</v>
      </c>
      <c r="H28" s="62">
        <f>($F28-$G28)/12</f>
        <v>213.26083333333341</v>
      </c>
      <c r="I28" s="62">
        <f t="shared" si="5"/>
        <v>2559.130000000001</v>
      </c>
      <c r="J28" s="62">
        <f>I28/12*13</f>
        <v>2772.3908333333343</v>
      </c>
    </row>
    <row r="29" spans="1:14" ht="15.75" thickBot="1" x14ac:dyDescent="0.3">
      <c r="A29" s="120" t="s">
        <v>41</v>
      </c>
      <c r="B29" s="131"/>
      <c r="C29" s="40" t="s">
        <v>81</v>
      </c>
      <c r="D29" s="152">
        <v>0.91669999999999996</v>
      </c>
      <c r="E29" s="169">
        <v>1</v>
      </c>
      <c r="F29" s="52">
        <f>B8*D8*E8</f>
        <v>20246.337037000001</v>
      </c>
      <c r="G29" s="20">
        <f>20344.07*D29*E29</f>
        <v>18649.408969</v>
      </c>
      <c r="H29" s="62">
        <f>($F29-$G29)/12</f>
        <v>133.07733900000008</v>
      </c>
      <c r="I29" s="62">
        <f t="shared" si="5"/>
        <v>1596.9280680000011</v>
      </c>
      <c r="J29" s="62">
        <f>I29/12*13</f>
        <v>1730.005407000001</v>
      </c>
    </row>
    <row r="30" spans="1:14" ht="15.75" thickBot="1" x14ac:dyDescent="0.3">
      <c r="A30" s="121" t="s">
        <v>42</v>
      </c>
      <c r="B30" s="132"/>
      <c r="C30" s="42" t="s">
        <v>23</v>
      </c>
      <c r="D30" s="154">
        <v>0.55559999999999998</v>
      </c>
      <c r="E30" s="169">
        <v>1</v>
      </c>
      <c r="F30" s="52">
        <f>B9*D9*E9</f>
        <v>11895.295991999999</v>
      </c>
      <c r="G30" s="20">
        <f>20344.07*D30*E30</f>
        <v>11303.165292</v>
      </c>
      <c r="H30" s="62">
        <f>($F30-$G30)/12</f>
        <v>49.344224999999973</v>
      </c>
      <c r="I30" s="62">
        <f t="shared" si="5"/>
        <v>592.13069999999971</v>
      </c>
      <c r="J30" s="62">
        <f>I30/12*13</f>
        <v>641.47492499999964</v>
      </c>
    </row>
    <row r="31" spans="1:14" ht="15.75" thickBot="1" x14ac:dyDescent="0.3">
      <c r="A31" s="115"/>
      <c r="B31" s="133"/>
      <c r="C31" s="18"/>
      <c r="D31" s="155"/>
      <c r="E31" s="173"/>
      <c r="F31" s="52"/>
      <c r="G31" s="20">
        <f t="shared" si="7"/>
        <v>0</v>
      </c>
      <c r="I31" s="62">
        <f t="shared" si="5"/>
        <v>0</v>
      </c>
    </row>
    <row r="32" spans="1:14" ht="15.75" thickBot="1" x14ac:dyDescent="0.3">
      <c r="A32" s="122" t="s">
        <v>52</v>
      </c>
      <c r="B32" s="122"/>
      <c r="C32" s="21" t="s">
        <v>19</v>
      </c>
      <c r="D32" s="156">
        <v>0.5</v>
      </c>
      <c r="E32" s="169">
        <f>3/12</f>
        <v>0.25</v>
      </c>
      <c r="F32" s="52">
        <f>B11*D11*E11</f>
        <v>2766.9337500000001</v>
      </c>
      <c r="G32" s="20">
        <f>22135.47*D32*E32</f>
        <v>2766.9337500000001</v>
      </c>
      <c r="H32" s="62">
        <f>($F32-$G32)/12</f>
        <v>0</v>
      </c>
      <c r="I32" s="62">
        <f t="shared" si="5"/>
        <v>0</v>
      </c>
      <c r="J32" s="62">
        <v>0</v>
      </c>
    </row>
    <row r="33" spans="1:10" ht="15.75" thickBot="1" x14ac:dyDescent="0.3">
      <c r="A33" s="123" t="s">
        <v>54</v>
      </c>
      <c r="B33" s="134"/>
      <c r="C33" s="44" t="s">
        <v>21</v>
      </c>
      <c r="D33" s="157">
        <v>0.97219999999999995</v>
      </c>
      <c r="E33" s="169">
        <v>1</v>
      </c>
      <c r="F33" s="52">
        <f>B12*D12*E12</f>
        <v>19778.504853999999</v>
      </c>
      <c r="G33" s="20">
        <f>20344.07*D33*E33</f>
        <v>19778.504853999999</v>
      </c>
      <c r="H33" s="62">
        <f>($F33-$G33)/12</f>
        <v>0</v>
      </c>
      <c r="I33" s="62">
        <f t="shared" si="5"/>
        <v>0</v>
      </c>
      <c r="J33" s="62">
        <f t="shared" ref="J33:J35" si="8">I33/12*13</f>
        <v>0</v>
      </c>
    </row>
    <row r="34" spans="1:10" ht="15.75" thickBot="1" x14ac:dyDescent="0.3">
      <c r="A34" s="124" t="s">
        <v>43</v>
      </c>
      <c r="B34" s="131"/>
      <c r="C34" s="46" t="s">
        <v>25</v>
      </c>
      <c r="D34" s="151">
        <v>1</v>
      </c>
      <c r="E34" s="161">
        <v>1</v>
      </c>
      <c r="F34" s="52">
        <f>B13*D13*E13</f>
        <v>19063.8</v>
      </c>
      <c r="G34" s="20">
        <f>18034.07*D34*E34</f>
        <v>18034.07</v>
      </c>
      <c r="H34" s="62">
        <f>($F34-$G34)/12</f>
        <v>85.810833333333292</v>
      </c>
      <c r="I34" s="62">
        <f t="shared" si="5"/>
        <v>1029.7299999999996</v>
      </c>
      <c r="J34" s="62">
        <f t="shared" si="8"/>
        <v>1115.5408333333328</v>
      </c>
    </row>
    <row r="35" spans="1:10" ht="15.75" thickBot="1" x14ac:dyDescent="0.3">
      <c r="A35" s="125" t="s">
        <v>44</v>
      </c>
      <c r="B35" s="135"/>
      <c r="C35" s="48" t="s">
        <v>26</v>
      </c>
      <c r="D35" s="151">
        <v>1</v>
      </c>
      <c r="E35" s="161">
        <v>1</v>
      </c>
      <c r="F35" s="52">
        <f>B14*D14*E14</f>
        <v>23543.200000000001</v>
      </c>
      <c r="G35" s="20">
        <f>20344.07*D35*E35</f>
        <v>20344.07</v>
      </c>
      <c r="H35" s="62">
        <f>($F35-$G35)/12</f>
        <v>266.59416666666675</v>
      </c>
      <c r="I35" s="62">
        <f t="shared" si="5"/>
        <v>3199.130000000001</v>
      </c>
      <c r="J35" s="62">
        <f t="shared" si="8"/>
        <v>3465.7241666666678</v>
      </c>
    </row>
    <row r="36" spans="1:10" ht="15.75" thickBot="1" x14ac:dyDescent="0.3">
      <c r="A36" s="114"/>
      <c r="B36" s="63"/>
      <c r="C36" s="34"/>
      <c r="D36" s="153"/>
      <c r="E36" s="172"/>
      <c r="F36" s="52"/>
      <c r="G36" s="20">
        <f t="shared" si="7"/>
        <v>0</v>
      </c>
      <c r="I36" s="62">
        <f t="shared" si="5"/>
        <v>0</v>
      </c>
    </row>
    <row r="37" spans="1:10" ht="15.75" thickBot="1" x14ac:dyDescent="0.3">
      <c r="A37" s="126" t="s">
        <v>90</v>
      </c>
      <c r="B37" s="136"/>
      <c r="C37" s="50" t="s">
        <v>21</v>
      </c>
      <c r="D37" s="151">
        <v>1</v>
      </c>
      <c r="E37" s="169">
        <f>1/12</f>
        <v>8.3333333333333329E-2</v>
      </c>
      <c r="F37" s="52">
        <f>B16*D16*E16</f>
        <v>1695.3391666666666</v>
      </c>
      <c r="G37" s="20">
        <f>20344.07*D37*E37</f>
        <v>1695.3391666666666</v>
      </c>
      <c r="H37" s="62">
        <f>($F37-$G37)/12</f>
        <v>0</v>
      </c>
      <c r="I37" s="62">
        <f t="shared" si="5"/>
        <v>0</v>
      </c>
      <c r="J37" s="62">
        <f t="shared" ref="J37:J38" si="9">I37/12*13</f>
        <v>0</v>
      </c>
    </row>
    <row r="38" spans="1:10" ht="15.75" thickBot="1" x14ac:dyDescent="0.3">
      <c r="A38" s="126" t="s">
        <v>90</v>
      </c>
      <c r="B38" s="136"/>
      <c r="C38" s="50" t="s">
        <v>21</v>
      </c>
      <c r="D38" s="158">
        <v>0.5</v>
      </c>
      <c r="E38" s="169">
        <f>11/12</f>
        <v>0.91666666666666663</v>
      </c>
      <c r="F38" s="52">
        <f>B17*D17*E17</f>
        <v>9324.3654166666656</v>
      </c>
      <c r="G38" s="20">
        <f>20344.07*D38*E38</f>
        <v>9324.3654166666656</v>
      </c>
      <c r="H38" s="62">
        <f>($F38-$G38)/12</f>
        <v>0</v>
      </c>
      <c r="I38" s="62">
        <f t="shared" si="5"/>
        <v>0</v>
      </c>
      <c r="J38" s="62">
        <f t="shared" si="9"/>
        <v>0</v>
      </c>
    </row>
    <row r="39" spans="1:10" x14ac:dyDescent="0.25">
      <c r="A39" s="62"/>
      <c r="B39" s="62"/>
      <c r="D39"/>
      <c r="F39"/>
      <c r="G39" s="62"/>
    </row>
    <row r="40" spans="1:10" x14ac:dyDescent="0.25">
      <c r="A40" s="62"/>
      <c r="B40" s="62"/>
      <c r="D40"/>
      <c r="F40"/>
      <c r="G40" s="62"/>
      <c r="J40" s="178">
        <f>SUM(J24:J39)</f>
        <v>9725.1361653333352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C6D60-5FE1-455C-84D9-25688EF2232A}">
  <dimension ref="A4:W30"/>
  <sheetViews>
    <sheetView workbookViewId="0">
      <selection activeCell="O16" sqref="O16"/>
    </sheetView>
  </sheetViews>
  <sheetFormatPr defaultColWidth="10.140625" defaultRowHeight="15" x14ac:dyDescent="0.25"/>
  <sheetData>
    <row r="4" spans="1:23" ht="15.75" thickBot="1" x14ac:dyDescent="0.3"/>
    <row r="5" spans="1:23" ht="34.5" thickTop="1" x14ac:dyDescent="0.25">
      <c r="A5" s="21"/>
      <c r="B5" s="2" t="s">
        <v>1</v>
      </c>
      <c r="C5" s="3" t="s">
        <v>2</v>
      </c>
      <c r="D5" s="3"/>
      <c r="E5" s="2" t="s">
        <v>3</v>
      </c>
      <c r="F5" s="60" t="s">
        <v>4</v>
      </c>
      <c r="G5" s="59" t="s">
        <v>5</v>
      </c>
      <c r="H5" s="4" t="s">
        <v>6</v>
      </c>
      <c r="I5" s="3" t="s">
        <v>7</v>
      </c>
      <c r="J5" s="2"/>
      <c r="K5" s="3" t="s">
        <v>8</v>
      </c>
      <c r="L5" s="3" t="s">
        <v>9</v>
      </c>
      <c r="M5" s="3" t="s">
        <v>10</v>
      </c>
      <c r="N5" s="3" t="s">
        <v>56</v>
      </c>
      <c r="O5" s="3" t="s">
        <v>57</v>
      </c>
      <c r="P5" s="3" t="s">
        <v>11</v>
      </c>
      <c r="Q5" s="3" t="s">
        <v>12</v>
      </c>
      <c r="R5" s="2" t="s">
        <v>13</v>
      </c>
      <c r="S5" s="5" t="s">
        <v>14</v>
      </c>
      <c r="T5" s="2" t="s">
        <v>15</v>
      </c>
      <c r="U5" s="3" t="s">
        <v>16</v>
      </c>
      <c r="V5" s="22" t="s">
        <v>17</v>
      </c>
      <c r="W5" s="23" t="s">
        <v>18</v>
      </c>
    </row>
    <row r="6" spans="1:23" x14ac:dyDescent="0.25">
      <c r="A6" s="24" t="s">
        <v>40</v>
      </c>
      <c r="B6" s="6"/>
      <c r="C6" s="6"/>
      <c r="D6" s="6"/>
      <c r="E6" s="7"/>
      <c r="F6" s="7"/>
      <c r="G6" s="7"/>
      <c r="H6" s="8"/>
      <c r="I6" s="6"/>
      <c r="J6" s="6"/>
      <c r="K6" s="6"/>
      <c r="L6" s="6"/>
      <c r="M6" s="6"/>
      <c r="N6" s="6"/>
      <c r="O6" s="6"/>
      <c r="P6" s="6"/>
      <c r="Q6" s="6"/>
      <c r="R6" s="9">
        <v>0.26679999999999998</v>
      </c>
      <c r="S6" s="10">
        <v>5.0000000000000001E-3</v>
      </c>
      <c r="T6" s="11"/>
      <c r="U6" s="12"/>
      <c r="V6" s="25">
        <v>8.5000000000000006E-2</v>
      </c>
      <c r="W6" s="26"/>
    </row>
    <row r="7" spans="1:23" x14ac:dyDescent="0.25">
      <c r="A7" s="27"/>
      <c r="B7" s="13"/>
      <c r="C7" s="13"/>
      <c r="D7" s="13"/>
      <c r="E7" s="14"/>
      <c r="F7" s="14"/>
      <c r="G7" s="14"/>
      <c r="H7" s="14"/>
      <c r="I7" s="15"/>
      <c r="J7" s="15"/>
      <c r="K7" s="15"/>
      <c r="L7" s="15"/>
      <c r="M7" s="14"/>
      <c r="N7" s="14"/>
      <c r="O7" s="14"/>
      <c r="P7" s="14"/>
      <c r="Q7" s="16"/>
      <c r="R7" s="17"/>
      <c r="S7" s="51">
        <v>2.5999999999999999E-2</v>
      </c>
      <c r="T7" s="14"/>
      <c r="U7" s="16"/>
      <c r="V7" s="14"/>
      <c r="W7" s="26"/>
    </row>
    <row r="8" spans="1:23" ht="15.75" thickBot="1" x14ac:dyDescent="0.3">
      <c r="A8" s="28"/>
      <c r="B8" s="21"/>
      <c r="C8" s="21" t="s">
        <v>77</v>
      </c>
      <c r="D8" s="88" t="s">
        <v>106</v>
      </c>
      <c r="E8" s="19"/>
      <c r="F8" s="1"/>
      <c r="G8" s="1"/>
      <c r="H8" s="29"/>
      <c r="I8" s="29"/>
      <c r="J8" s="29"/>
      <c r="K8" s="29"/>
      <c r="L8" s="1"/>
      <c r="M8" s="1"/>
      <c r="N8" s="1"/>
      <c r="O8" s="1"/>
      <c r="P8" s="29"/>
      <c r="Q8" s="29"/>
      <c r="R8" s="29"/>
      <c r="S8" s="29"/>
      <c r="T8" s="29"/>
      <c r="U8" s="29"/>
      <c r="V8" s="30"/>
      <c r="W8" s="31"/>
    </row>
    <row r="9" spans="1:23" ht="15.75" thickBot="1" x14ac:dyDescent="0.3">
      <c r="A9" s="52">
        <f>VLOOKUP($B9,'Compensi annuali categorie'!$B$4:$C$20,2,TRUE)</f>
        <v>22135.47</v>
      </c>
      <c r="B9" s="33" t="s">
        <v>19</v>
      </c>
      <c r="C9" s="196">
        <f>3/36</f>
        <v>8.3333333333333329E-2</v>
      </c>
      <c r="D9" s="161">
        <v>1</v>
      </c>
      <c r="E9" s="139">
        <f>A9*C9*D9</f>
        <v>1844.6224999999999</v>
      </c>
      <c r="F9" s="79">
        <f>VLOOKUP($B9,'Compensi annuali categorie'!$B$4:$H$20,7,TRUE)*C9*(12*D9)</f>
        <v>51.900000000000006</v>
      </c>
      <c r="G9" s="79">
        <f>VLOOKUP($B9,'Compensi annuali categorie'!$B$4:$H$20,4,TRUE)*C9*(12*D9)</f>
        <v>19</v>
      </c>
      <c r="H9" s="56"/>
      <c r="I9" s="57"/>
      <c r="J9" s="57"/>
      <c r="K9" s="57"/>
      <c r="L9" s="55">
        <f>E9/12</f>
        <v>153.71854166666665</v>
      </c>
      <c r="M9" s="55">
        <f>L9+G9+F9+E9+I9</f>
        <v>2069.2410416666667</v>
      </c>
      <c r="N9" s="55">
        <f>0.038*M9</f>
        <v>78.631159583333329</v>
      </c>
      <c r="O9" s="55">
        <f>M9+N9</f>
        <v>2147.8722012500002</v>
      </c>
      <c r="P9" s="56"/>
      <c r="Q9" s="54"/>
      <c r="R9" s="56">
        <f>(O9)*$R$6</f>
        <v>573.05230329350002</v>
      </c>
      <c r="S9" s="56">
        <f>(O9)*$S$6</f>
        <v>10.739361006250002</v>
      </c>
      <c r="T9" s="56">
        <f>+R9+S9</f>
        <v>583.79166429974998</v>
      </c>
      <c r="U9" s="54"/>
      <c r="V9" s="58">
        <f>(O9)*$V$6</f>
        <v>182.56913710625003</v>
      </c>
      <c r="W9" s="53">
        <f>O9+P9+T9+V9</f>
        <v>2914.2330026559998</v>
      </c>
    </row>
    <row r="10" spans="1:23" ht="15.75" thickBot="1" x14ac:dyDescent="0.3">
      <c r="A10" s="52">
        <f>VLOOKUP($B10,'Compensi annuali categorie'!$B$4:$C$20,2,TRUE)</f>
        <v>22135.47</v>
      </c>
      <c r="B10" s="64" t="s">
        <v>108</v>
      </c>
      <c r="C10" s="196">
        <f>3/36</f>
        <v>8.3333333333333329E-2</v>
      </c>
      <c r="D10" s="197">
        <f>6/12</f>
        <v>0.5</v>
      </c>
      <c r="E10" s="139">
        <f t="shared" ref="E10:E15" si="0">A10*C10*D10</f>
        <v>922.31124999999997</v>
      </c>
      <c r="F10" s="79">
        <f>VLOOKUP($B10,'Compensi annuali categorie'!$B$4:$H$20,7,TRUE)*C10*(12*D10)</f>
        <v>25.950000000000003</v>
      </c>
      <c r="G10" s="79">
        <f>VLOOKUP($B10,'Compensi annuali categorie'!$B$4:$H$20,4,TRUE)*C10*(12*D10)</f>
        <v>9.5</v>
      </c>
      <c r="H10" s="56"/>
      <c r="I10" s="57"/>
      <c r="J10" s="57"/>
      <c r="K10" s="57"/>
      <c r="L10" s="55">
        <f>E10/12</f>
        <v>76.859270833333326</v>
      </c>
      <c r="M10" s="55">
        <f>L10+G10+F10+E10+I10</f>
        <v>1034.6205208333333</v>
      </c>
      <c r="N10" s="55">
        <f>0.038*M10</f>
        <v>39.315579791666664</v>
      </c>
      <c r="O10" s="55">
        <f>M10+N10</f>
        <v>1073.9361006250001</v>
      </c>
      <c r="P10" s="56"/>
      <c r="Q10" s="54"/>
      <c r="R10" s="56">
        <f>(O10)*$R$6</f>
        <v>286.52615164675001</v>
      </c>
      <c r="S10" s="56">
        <f>(O10)*$S$6</f>
        <v>5.369680503125001</v>
      </c>
      <c r="T10" s="56">
        <f>+R10+S10</f>
        <v>291.89583214987499</v>
      </c>
      <c r="U10" s="54"/>
      <c r="V10" s="58">
        <f>(O10)*$V$6</f>
        <v>91.284568553125013</v>
      </c>
      <c r="W10" s="53">
        <f>O10+P10+T10+V10</f>
        <v>1457.1165013279999</v>
      </c>
    </row>
    <row r="11" spans="1:23" ht="15.75" thickBot="1" x14ac:dyDescent="0.3">
      <c r="A11" s="65"/>
      <c r="B11" s="64"/>
      <c r="C11" s="198"/>
      <c r="D11" s="198"/>
      <c r="E11" s="139">
        <f t="shared" si="0"/>
        <v>0</v>
      </c>
      <c r="F11" s="67"/>
      <c r="G11" s="67"/>
      <c r="H11" s="68"/>
      <c r="I11" s="69"/>
      <c r="J11" s="69"/>
      <c r="K11" s="69"/>
      <c r="L11" s="67"/>
      <c r="M11" s="67"/>
      <c r="N11" s="67"/>
      <c r="O11" s="67"/>
      <c r="P11" s="68"/>
      <c r="Q11" s="66"/>
      <c r="R11" s="68"/>
      <c r="S11" s="68"/>
      <c r="T11" s="68"/>
      <c r="U11" s="66"/>
      <c r="V11" s="68"/>
      <c r="W11" s="19"/>
    </row>
    <row r="12" spans="1:23" ht="15.75" thickBot="1" x14ac:dyDescent="0.3">
      <c r="A12" s="52">
        <f>VLOOKUP($B12,'Compensi annuali categorie'!$B$4:$C$20,2,TRUE)</f>
        <v>23220.05</v>
      </c>
      <c r="B12" t="s">
        <v>83</v>
      </c>
      <c r="C12" s="196">
        <f>3/36</f>
        <v>8.3333333333333329E-2</v>
      </c>
      <c r="D12" s="197">
        <f>12/12</f>
        <v>1</v>
      </c>
      <c r="E12" s="139">
        <f t="shared" si="0"/>
        <v>1935.0041666666666</v>
      </c>
      <c r="F12" s="79">
        <f>VLOOKUP($B12,'Compensi annuali categorie'!$B$4:$H$20,7,TRUE)*C12*(12*D12)</f>
        <v>51.900000000000006</v>
      </c>
      <c r="G12" s="79">
        <f>VLOOKUP($B12,'Compensi annuali categorie'!$B$4:$H$20,4,TRUE)*C12*(12*D12)</f>
        <v>16</v>
      </c>
      <c r="H12" s="56"/>
      <c r="I12" s="57"/>
      <c r="J12" s="57"/>
      <c r="K12" s="57"/>
      <c r="L12" s="55">
        <f>E12/12</f>
        <v>161.25034722222222</v>
      </c>
      <c r="M12" s="55">
        <f>L12+G12+F12+E12+I12</f>
        <v>2164.1545138888887</v>
      </c>
      <c r="N12" s="55">
        <f>0.038*M12</f>
        <v>82.23787152777777</v>
      </c>
      <c r="O12" s="55">
        <f>M12+N12</f>
        <v>2246.3923854166665</v>
      </c>
      <c r="P12" s="56"/>
      <c r="Q12" s="54"/>
      <c r="R12" s="56">
        <f>(O12)*$R$6</f>
        <v>599.33748842916657</v>
      </c>
      <c r="S12" s="56">
        <f>(O12)*$S$6</f>
        <v>11.231961927083333</v>
      </c>
      <c r="T12" s="56">
        <f>+R12+S12</f>
        <v>610.56945035624994</v>
      </c>
      <c r="U12" s="54"/>
      <c r="V12" s="58">
        <f>(O12)*$V$6</f>
        <v>190.94335276041667</v>
      </c>
      <c r="W12" s="53">
        <f>O12+P12+T12+V12</f>
        <v>3047.9051885333329</v>
      </c>
    </row>
    <row r="13" spans="1:23" ht="15.75" thickBot="1" x14ac:dyDescent="0.3">
      <c r="A13" s="52">
        <f>VLOOKUP($B13,'Compensi annuali categorie'!$B$4:$C$20,2,TRUE)</f>
        <v>23220.05</v>
      </c>
      <c r="B13" t="s">
        <v>109</v>
      </c>
      <c r="C13" s="196">
        <f>3/36</f>
        <v>8.3333333333333329E-2</v>
      </c>
      <c r="D13" s="197">
        <f>6/12</f>
        <v>0.5</v>
      </c>
      <c r="E13" s="139">
        <f t="shared" si="0"/>
        <v>967.5020833333333</v>
      </c>
      <c r="F13" s="79">
        <f>VLOOKUP($B13,'Compensi annuali categorie'!$B$4:$H$20,7,TRUE)*C13*(12*D13)</f>
        <v>25.950000000000003</v>
      </c>
      <c r="G13" s="79">
        <f>VLOOKUP($B13,'Compensi annuali categorie'!$B$4:$H$20,4,TRUE)*C13*(12*D13)</f>
        <v>8</v>
      </c>
      <c r="H13" s="56"/>
      <c r="I13" s="57"/>
      <c r="J13" s="57"/>
      <c r="K13" s="57"/>
      <c r="L13" s="55">
        <f>E13/12</f>
        <v>80.625173611111109</v>
      </c>
      <c r="M13" s="55">
        <f>L13+G13+F13+E13+I13</f>
        <v>1082.0772569444443</v>
      </c>
      <c r="N13" s="55">
        <f>0.038*M13</f>
        <v>41.118935763888885</v>
      </c>
      <c r="O13" s="55">
        <f>M13+N13</f>
        <v>1123.1961927083332</v>
      </c>
      <c r="P13" s="56"/>
      <c r="Q13" s="54"/>
      <c r="R13" s="56">
        <f>(O13)*$R$6</f>
        <v>299.66874421458328</v>
      </c>
      <c r="S13" s="56">
        <f>(O13)*$S$6</f>
        <v>5.6159809635416664</v>
      </c>
      <c r="T13" s="56">
        <f>+R13+S13</f>
        <v>305.28472517812497</v>
      </c>
      <c r="U13" s="54"/>
      <c r="V13" s="58">
        <f>(O13)*$V$6</f>
        <v>95.471676380208336</v>
      </c>
      <c r="W13" s="53">
        <f>O13+P13+T13+V13</f>
        <v>1523.9525942666664</v>
      </c>
    </row>
    <row r="14" spans="1:23" ht="15.75" thickBot="1" x14ac:dyDescent="0.3">
      <c r="A14" s="52"/>
      <c r="C14" s="199"/>
      <c r="D14" s="199"/>
      <c r="E14" s="139">
        <f t="shared" si="0"/>
        <v>0</v>
      </c>
    </row>
    <row r="15" spans="1:23" ht="15.75" thickBot="1" x14ac:dyDescent="0.3">
      <c r="A15" s="52">
        <f>VLOOKUP($B15,'Compensi annuali categorie'!$B$4:$C$20,2,TRUE)</f>
        <v>25451.86</v>
      </c>
      <c r="B15" t="s">
        <v>82</v>
      </c>
      <c r="C15" s="196">
        <f>6/36</f>
        <v>0.16666666666666666</v>
      </c>
      <c r="D15" s="197">
        <f>12/12</f>
        <v>1</v>
      </c>
      <c r="E15" s="139">
        <f t="shared" si="0"/>
        <v>4241.9766666666665</v>
      </c>
      <c r="F15" s="79">
        <f>VLOOKUP($B15,'Compensi annuali categorie'!$B$4:$H$20,7,TRUE)*C15*(12*D15)</f>
        <v>103.80000000000001</v>
      </c>
      <c r="G15" s="79">
        <f>VLOOKUP($B15,'Compensi annuali categorie'!$B$4:$H$20,4,TRUE)*C15*(12*D15)</f>
        <v>18</v>
      </c>
      <c r="H15" s="56"/>
      <c r="I15" s="57"/>
      <c r="J15" s="57"/>
      <c r="K15" s="57"/>
      <c r="L15" s="55">
        <f>E15/12</f>
        <v>353.49805555555554</v>
      </c>
      <c r="M15" s="55">
        <f>L15+G15+F15+E15+I15</f>
        <v>4717.2747222222224</v>
      </c>
      <c r="N15" s="55">
        <f>0.038*M15</f>
        <v>179.25643944444445</v>
      </c>
      <c r="O15" s="55">
        <f>M15+N15</f>
        <v>4896.5311616666668</v>
      </c>
      <c r="P15" s="56"/>
      <c r="Q15" s="54"/>
      <c r="R15" s="56">
        <f>(O15)*$R$6</f>
        <v>1306.3945139326665</v>
      </c>
      <c r="S15" s="56">
        <f>(O15)*$S$6</f>
        <v>24.482655808333334</v>
      </c>
      <c r="T15" s="56">
        <f>+R15+S15</f>
        <v>1330.8771697409998</v>
      </c>
      <c r="U15" s="54"/>
      <c r="V15" s="58">
        <f>(O15)*$V$6</f>
        <v>416.20514874166673</v>
      </c>
      <c r="W15" s="53">
        <f>O15+P15+T15+V15</f>
        <v>6643.6134801493336</v>
      </c>
    </row>
    <row r="16" spans="1:23" x14ac:dyDescent="0.25">
      <c r="A16" s="52">
        <f>VLOOKUP($B16,'Compensi annuali categorie'!$B$4:$C$20,2,TRUE)</f>
        <v>25451.86</v>
      </c>
      <c r="B16" s="64" t="s">
        <v>110</v>
      </c>
      <c r="C16" s="196">
        <f>6/36</f>
        <v>0.16666666666666666</v>
      </c>
      <c r="D16" s="197">
        <f>6/12</f>
        <v>0.5</v>
      </c>
      <c r="E16" s="139">
        <f>A16*C16*D16</f>
        <v>2120.9883333333332</v>
      </c>
      <c r="F16" s="79">
        <f>VLOOKUP($B16,'Compensi annuali categorie'!$B$4:$H$20,7,TRUE)*C16*(12*D16)</f>
        <v>51.900000000000006</v>
      </c>
      <c r="G16" s="79">
        <f>VLOOKUP($B16,'Compensi annuali categorie'!$B$4:$H$20,4,TRUE)*C16*(12*D16)</f>
        <v>9</v>
      </c>
      <c r="H16" s="56"/>
      <c r="I16" s="57"/>
      <c r="J16" s="57"/>
      <c r="K16" s="57"/>
      <c r="L16" s="55">
        <f>E16/12</f>
        <v>176.74902777777777</v>
      </c>
      <c r="M16" s="55">
        <f>L16+G16+F16+E16+I16</f>
        <v>2358.6373611111112</v>
      </c>
      <c r="N16" s="55">
        <f>0.038*M16</f>
        <v>89.628219722222227</v>
      </c>
      <c r="O16" s="55">
        <f>M16+N16</f>
        <v>2448.2655808333334</v>
      </c>
      <c r="P16" s="56"/>
      <c r="Q16" s="54"/>
      <c r="R16" s="56">
        <f>(O16)*$R$6</f>
        <v>653.19725696633327</v>
      </c>
      <c r="S16" s="56">
        <f>(O16)*$S$6</f>
        <v>12.241327904166667</v>
      </c>
      <c r="T16" s="56">
        <f>+R16+S16</f>
        <v>665.43858487049988</v>
      </c>
      <c r="U16" s="54"/>
      <c r="V16" s="58">
        <f>(O16)*$V$6</f>
        <v>208.10257437083337</v>
      </c>
      <c r="W16" s="53">
        <f>O16+P16+T16+V16</f>
        <v>3321.8067400746668</v>
      </c>
    </row>
    <row r="17" spans="1:23" x14ac:dyDescent="0.25">
      <c r="A17" s="52"/>
      <c r="B17" s="64"/>
      <c r="C17" s="66"/>
      <c r="D17" s="66"/>
      <c r="E17" s="67"/>
      <c r="F17" s="67"/>
      <c r="G17" s="67"/>
      <c r="H17" s="68"/>
      <c r="I17" s="69"/>
      <c r="J17" s="69"/>
      <c r="K17" s="69"/>
      <c r="L17" s="67"/>
      <c r="M17" s="67"/>
      <c r="N17" s="67"/>
      <c r="O17" s="67"/>
      <c r="P17" s="68"/>
      <c r="Q17" s="66"/>
      <c r="R17" s="68"/>
      <c r="S17" s="68"/>
      <c r="T17" s="68"/>
      <c r="U17" s="66"/>
      <c r="V17" s="68"/>
      <c r="W17" s="19"/>
    </row>
    <row r="18" spans="1:23" x14ac:dyDescent="0.25">
      <c r="B18" t="s">
        <v>84</v>
      </c>
    </row>
    <row r="19" spans="1:23" x14ac:dyDescent="0.25">
      <c r="B19" t="s">
        <v>85</v>
      </c>
    </row>
    <row r="21" spans="1:23" x14ac:dyDescent="0.25">
      <c r="B21" t="s">
        <v>21</v>
      </c>
    </row>
    <row r="22" spans="1:23" x14ac:dyDescent="0.25">
      <c r="B22" t="s">
        <v>24</v>
      </c>
    </row>
    <row r="23" spans="1:23" x14ac:dyDescent="0.25">
      <c r="B23" t="s">
        <v>23</v>
      </c>
    </row>
    <row r="24" spans="1:23" x14ac:dyDescent="0.25">
      <c r="B24" t="s">
        <v>81</v>
      </c>
    </row>
    <row r="25" spans="1:23" x14ac:dyDescent="0.25">
      <c r="B25" t="s">
        <v>22</v>
      </c>
    </row>
    <row r="26" spans="1:23" x14ac:dyDescent="0.25">
      <c r="B26" t="s">
        <v>26</v>
      </c>
    </row>
    <row r="28" spans="1:23" x14ac:dyDescent="0.25">
      <c r="B28" t="s">
        <v>25</v>
      </c>
    </row>
    <row r="29" spans="1:23" x14ac:dyDescent="0.25">
      <c r="B29" t="s">
        <v>86</v>
      </c>
    </row>
    <row r="30" spans="1:23" x14ac:dyDescent="0.25">
      <c r="B30" t="s">
        <v>87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4E676-0128-461E-B313-C8BF9478EDA4}">
  <dimension ref="B3:H29"/>
  <sheetViews>
    <sheetView workbookViewId="0">
      <selection activeCell="H19" sqref="H19"/>
    </sheetView>
  </sheetViews>
  <sheetFormatPr defaultRowHeight="15" x14ac:dyDescent="0.25"/>
  <cols>
    <col min="2" max="2" width="6.28515625" customWidth="1"/>
    <col min="3" max="3" width="20.140625" style="62" bestFit="1" customWidth="1"/>
    <col min="4" max="4" width="8" style="62" bestFit="1" customWidth="1"/>
    <col min="5" max="5" width="15.140625" style="62" bestFit="1" customWidth="1"/>
    <col min="6" max="6" width="14.85546875" customWidth="1"/>
    <col min="7" max="7" width="11.5703125" customWidth="1"/>
  </cols>
  <sheetData>
    <row r="3" spans="2:8" ht="60.75" thickBot="1" x14ac:dyDescent="0.3">
      <c r="C3" s="111" t="s">
        <v>94</v>
      </c>
      <c r="D3" s="111" t="s">
        <v>62</v>
      </c>
      <c r="E3" s="111" t="s">
        <v>95</v>
      </c>
      <c r="F3" s="111" t="s">
        <v>103</v>
      </c>
      <c r="G3" s="111" t="s">
        <v>65</v>
      </c>
      <c r="H3" s="111" t="s">
        <v>107</v>
      </c>
    </row>
    <row r="4" spans="2:8" x14ac:dyDescent="0.25">
      <c r="B4" t="s">
        <v>25</v>
      </c>
      <c r="C4" s="75">
        <v>19063.8</v>
      </c>
      <c r="D4" s="62">
        <v>136.68</v>
      </c>
      <c r="E4" s="62">
        <v>24</v>
      </c>
      <c r="F4">
        <v>3.73</v>
      </c>
      <c r="G4" s="62">
        <v>35.58</v>
      </c>
      <c r="H4" s="200">
        <f>F4+G4</f>
        <v>39.309999999999995</v>
      </c>
    </row>
    <row r="5" spans="2:8" x14ac:dyDescent="0.25">
      <c r="B5" t="s">
        <v>86</v>
      </c>
      <c r="C5" s="62">
        <v>19343.330000000002</v>
      </c>
      <c r="D5" s="62">
        <v>138.72</v>
      </c>
      <c r="E5" s="62">
        <v>24</v>
      </c>
      <c r="F5">
        <v>3.73</v>
      </c>
      <c r="G5" s="62">
        <v>35.58</v>
      </c>
      <c r="H5" s="200">
        <f t="shared" ref="H5:H20" si="0">F5+G5</f>
        <v>39.309999999999995</v>
      </c>
    </row>
    <row r="6" spans="2:8" x14ac:dyDescent="0.25">
      <c r="B6" t="s">
        <v>87</v>
      </c>
      <c r="C6" s="62">
        <v>19669.91</v>
      </c>
      <c r="D6" s="62">
        <v>141.12</v>
      </c>
      <c r="E6" s="62">
        <v>23</v>
      </c>
      <c r="F6">
        <v>3.73</v>
      </c>
      <c r="G6" s="62">
        <v>35.58</v>
      </c>
      <c r="H6" s="200">
        <f t="shared" si="0"/>
        <v>39.309999999999995</v>
      </c>
    </row>
    <row r="7" spans="2:8" x14ac:dyDescent="0.25">
      <c r="B7" t="s">
        <v>96</v>
      </c>
      <c r="C7" s="62">
        <v>20019.099999999999</v>
      </c>
      <c r="D7" s="62">
        <v>143.52000000000001</v>
      </c>
      <c r="E7" s="62">
        <v>23</v>
      </c>
      <c r="F7">
        <v>3.73</v>
      </c>
      <c r="G7" s="62">
        <v>35.58</v>
      </c>
      <c r="H7" s="200">
        <f t="shared" si="0"/>
        <v>39.309999999999995</v>
      </c>
    </row>
    <row r="8" spans="2:8" x14ac:dyDescent="0.25">
      <c r="G8" s="62"/>
      <c r="H8" s="200">
        <f t="shared" si="0"/>
        <v>0</v>
      </c>
    </row>
    <row r="9" spans="2:8" x14ac:dyDescent="0.25">
      <c r="B9" t="s">
        <v>21</v>
      </c>
      <c r="C9" s="62">
        <v>20344.07</v>
      </c>
      <c r="D9" s="62">
        <v>145.91999999999999</v>
      </c>
      <c r="E9" s="62">
        <v>23</v>
      </c>
      <c r="F9" s="62">
        <v>4.34</v>
      </c>
      <c r="G9" s="62">
        <v>41.46</v>
      </c>
      <c r="H9" s="200">
        <f t="shared" si="0"/>
        <v>45.8</v>
      </c>
    </row>
    <row r="10" spans="2:8" x14ac:dyDescent="0.25">
      <c r="B10" t="s">
        <v>24</v>
      </c>
      <c r="C10" s="62">
        <v>20829.259999999998</v>
      </c>
      <c r="D10" s="62">
        <v>149.4</v>
      </c>
      <c r="E10" s="62">
        <v>22</v>
      </c>
      <c r="F10" s="62">
        <v>4.34</v>
      </c>
      <c r="G10" s="62">
        <v>41.46</v>
      </c>
      <c r="H10" s="200">
        <f t="shared" si="0"/>
        <v>45.8</v>
      </c>
    </row>
    <row r="11" spans="2:8" x14ac:dyDescent="0.25">
      <c r="B11" t="s">
        <v>23</v>
      </c>
      <c r="C11" s="62">
        <v>21409.82</v>
      </c>
      <c r="D11" s="62">
        <v>153.6</v>
      </c>
      <c r="E11" s="62">
        <v>20</v>
      </c>
      <c r="F11" s="62">
        <v>4.34</v>
      </c>
      <c r="G11" s="62">
        <v>41.46</v>
      </c>
      <c r="H11" s="200">
        <f t="shared" si="0"/>
        <v>45.8</v>
      </c>
    </row>
    <row r="12" spans="2:8" x14ac:dyDescent="0.25">
      <c r="B12" t="s">
        <v>81</v>
      </c>
      <c r="C12" s="62">
        <v>22086.11</v>
      </c>
      <c r="D12" s="62">
        <v>158.4</v>
      </c>
      <c r="E12" s="62">
        <v>18</v>
      </c>
      <c r="F12" s="62">
        <v>4.34</v>
      </c>
      <c r="G12" s="62">
        <v>41.46</v>
      </c>
      <c r="H12" s="200">
        <f t="shared" si="0"/>
        <v>45.8</v>
      </c>
    </row>
    <row r="13" spans="2:8" x14ac:dyDescent="0.25">
      <c r="B13" t="s">
        <v>22</v>
      </c>
      <c r="C13" s="62">
        <v>22903.200000000001</v>
      </c>
      <c r="D13" s="62">
        <v>164.28</v>
      </c>
      <c r="E13" s="62">
        <v>17</v>
      </c>
      <c r="F13" s="62">
        <v>4.34</v>
      </c>
      <c r="G13" s="62">
        <v>41.46</v>
      </c>
      <c r="H13" s="200">
        <f t="shared" si="0"/>
        <v>45.8</v>
      </c>
    </row>
    <row r="14" spans="2:8" x14ac:dyDescent="0.25">
      <c r="B14" t="s">
        <v>26</v>
      </c>
      <c r="C14" s="62">
        <v>23543.200000000001</v>
      </c>
      <c r="D14" s="62">
        <v>0</v>
      </c>
      <c r="E14" s="62">
        <v>0</v>
      </c>
      <c r="F14" s="62">
        <v>4.34</v>
      </c>
      <c r="G14" s="62">
        <v>41.46</v>
      </c>
      <c r="H14" s="200">
        <f t="shared" si="0"/>
        <v>45.8</v>
      </c>
    </row>
    <row r="15" spans="2:8" x14ac:dyDescent="0.25">
      <c r="G15" s="62"/>
      <c r="H15" s="200">
        <f t="shared" si="0"/>
        <v>0</v>
      </c>
    </row>
    <row r="16" spans="2:8" x14ac:dyDescent="0.25">
      <c r="B16" t="s">
        <v>19</v>
      </c>
      <c r="C16" s="62">
        <v>22135.47</v>
      </c>
      <c r="D16" s="62">
        <v>158.76</v>
      </c>
      <c r="E16" s="62">
        <v>19</v>
      </c>
      <c r="F16" s="62">
        <v>4.95</v>
      </c>
      <c r="G16" s="62">
        <v>46.95</v>
      </c>
      <c r="H16" s="200">
        <f t="shared" si="0"/>
        <v>51.900000000000006</v>
      </c>
    </row>
    <row r="17" spans="2:8" x14ac:dyDescent="0.25">
      <c r="B17" t="s">
        <v>83</v>
      </c>
      <c r="C17" s="62">
        <v>23220.05</v>
      </c>
      <c r="D17" s="62">
        <v>166.56</v>
      </c>
      <c r="E17" s="62">
        <v>16</v>
      </c>
      <c r="F17" s="62">
        <v>4.95</v>
      </c>
      <c r="G17" s="62">
        <v>46.95</v>
      </c>
      <c r="H17" s="200">
        <f t="shared" si="0"/>
        <v>51.900000000000006</v>
      </c>
    </row>
    <row r="18" spans="2:8" x14ac:dyDescent="0.25">
      <c r="B18" t="s">
        <v>82</v>
      </c>
      <c r="C18" s="62">
        <v>25451.86</v>
      </c>
      <c r="D18" s="62">
        <v>182.52</v>
      </c>
      <c r="E18" s="62">
        <v>9</v>
      </c>
      <c r="F18" s="62">
        <v>4.95</v>
      </c>
      <c r="G18" s="62">
        <v>46.95</v>
      </c>
      <c r="H18" s="200">
        <f t="shared" si="0"/>
        <v>51.900000000000006</v>
      </c>
    </row>
    <row r="19" spans="2:8" x14ac:dyDescent="0.25">
      <c r="B19" t="s">
        <v>84</v>
      </c>
      <c r="C19" s="62">
        <v>25451.86</v>
      </c>
      <c r="D19" s="62">
        <v>190.32</v>
      </c>
      <c r="E19" s="62">
        <v>6</v>
      </c>
      <c r="F19" s="62">
        <v>4.95</v>
      </c>
      <c r="G19" s="62">
        <v>46.95</v>
      </c>
      <c r="H19" s="200">
        <f t="shared" si="0"/>
        <v>51.900000000000006</v>
      </c>
    </row>
    <row r="20" spans="2:8" x14ac:dyDescent="0.25">
      <c r="B20" t="s">
        <v>85</v>
      </c>
      <c r="C20" s="62">
        <v>26538.880000000001</v>
      </c>
      <c r="D20" s="62">
        <v>198.84</v>
      </c>
      <c r="E20" s="62">
        <v>2</v>
      </c>
      <c r="F20" s="62">
        <v>4.95</v>
      </c>
      <c r="G20" s="62">
        <v>46.95</v>
      </c>
      <c r="H20" s="200">
        <f t="shared" si="0"/>
        <v>51.900000000000006</v>
      </c>
    </row>
    <row r="26" spans="2:8" x14ac:dyDescent="0.25">
      <c r="B26" t="s">
        <v>101</v>
      </c>
    </row>
    <row r="27" spans="2:8" x14ac:dyDescent="0.25">
      <c r="B27" t="s">
        <v>19</v>
      </c>
      <c r="C27" s="62">
        <v>21976.71</v>
      </c>
    </row>
    <row r="28" spans="2:8" x14ac:dyDescent="0.25">
      <c r="B28" t="s">
        <v>21</v>
      </c>
      <c r="C28" s="62">
        <v>20198.150000000001</v>
      </c>
    </row>
    <row r="29" spans="2:8" x14ac:dyDescent="0.25">
      <c r="B29" t="s">
        <v>102</v>
      </c>
      <c r="C29" s="62">
        <v>18034.07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Costo personale</vt:lpstr>
      <vt:lpstr>conteggi dipendenti</vt:lpstr>
      <vt:lpstr>Esterni</vt:lpstr>
      <vt:lpstr>Compensi annuali categorie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Anagrafe</dc:creator>
  <cp:lastModifiedBy>Anagrafe</cp:lastModifiedBy>
  <cp:lastPrinted>2022-02-18T13:21:05Z</cp:lastPrinted>
  <dcterms:created xsi:type="dcterms:W3CDTF">2021-06-11T07:37:56Z</dcterms:created>
  <dcterms:modified xsi:type="dcterms:W3CDTF">2022-02-18T13:50:34Z</dcterms:modified>
</cp:coreProperties>
</file>